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2\2 Febrero\"/>
    </mc:Choice>
  </mc:AlternateContent>
  <xr:revisionPtr revIDLastSave="0" documentId="13_ncr:1_{4DC102DB-7A9E-4ED2-B1D6-9C45774F98C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E57" i="1"/>
  <c r="I57" i="1"/>
  <c r="H57" i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3" i="1" l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<sst xmlns="http://schemas.openxmlformats.org/spreadsheetml/2006/main" count="308" uniqueCount="132">
  <si>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</si>
  <si>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</si>
  <si>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</si>
  <si>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</si>
  <si>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</si>
  <si>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</si>
  <si>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</si>
  <si>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</si>
  <si>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</si>
  <si>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</si>
  <si>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</si>
  <si>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</si>
  <si>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</si>
  <si>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</si>
  <si>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</si>
  <si>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</si>
  <si>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</si>
  <si>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</si>
  <si>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</si>
  <si>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</si>
  <si>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</si>
  <si>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</si>
  <si>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</si>
  <si>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</si>
  <si>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</si>
  <si>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</si>
  <si>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</si>
  <si>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</si>
  <si>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</si>
  <si>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</si>
  <si>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</si>
  <si>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</si>
  <si>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</si>
  <si>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</si>
  <si>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</si>
  <si>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</si>
  <si>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</si>
  <si>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</si>
  <si>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</si>
  <si>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</si>
  <si>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</si>
  <si>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</si>
  <si>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</si>
  <si>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</si>
  <si>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</si>
  <si>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</si>
  <si>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</si>
  <si>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</si>
  <si>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</si>
  <si>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</si>
  <si>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</si>
  <si>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</si>
  <si>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</si>
  <si>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</si>
  <si>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</si>
  <si>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</si>
  <si>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</si>
  <si>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</si>
  <si>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</si>
  <si>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</si>
  <si>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</si>
  <si>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</si>
  <si>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</si>
  <si>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</si>
  <si>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</si>
  <si>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</si>
  <si>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</si>
  <si>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</si>
  <si>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</si>
  <si>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</si>
  <si>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</si>
  <si>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</si>
  <si>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</si>
  <si>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</si>
  <si>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</si>
  <si>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</si>
  <si>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</si>
  <si>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</si>
  <si>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</si>
  <si>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</si>
  <si>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</si>
  <si>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</si>
  <si>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</si>
  <si>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</si>
  <si>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</si>
  <si>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</si>
  <si>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</si>
  <si>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</si>
  <si>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</si>
  <si>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</si>
  <si>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</si>
  <si>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</si>
  <si>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</si>
  <si>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</si>
  <si>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</si>
  <si>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</si>
  <si>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</si>
  <si>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</si>
  <si>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</si>
  <si>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</si>
  <si>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</si>
  <si>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</si>
  <si>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</si>
  <si>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</si>
  <si>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</si>
  <si>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</si>
  <si>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</si>
  <si>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</si>
  <si>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</si>
  <si>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</si>
  <si>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</si>
  <si>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</si>
  <si>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</si>
  <si>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</si>
  <si>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</si>
  <si>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</si>
  <si>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</si>
  <si>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</si>
  <si>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1. RESUMEN NACIONAL AL MES DE ENERO 2022</t>
  </si>
  <si>
    <t>Enero</t>
  </si>
  <si>
    <t>Total Anual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</si>
  <si>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</si>
  <si>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</si>
  <si>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</si>
  <si>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</si>
  <si>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</si>
  <si>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</si>
  <si>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Grafico N° 11: Generación de energía eléctrica por Región, al mes de enero 2022</t>
  </si>
  <si>
    <t>3.1 Producción de energía eléctrica (GWh) nacional según zona 2022 vs 2021</t>
  </si>
  <si>
    <t>3.2 Producción de energía eléctrica (GWh) por origen y zona al mes de enero 2022</t>
  </si>
  <si>
    <t>Enero 2022</t>
  </si>
  <si>
    <t>Cuadro N° 8: Producción de energía eléctrica nacional por zona del país, al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</si>
</sst>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10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99" fillId="0" borderId="86" xfId="0" applyNumberFormat="1" applyFont="1" applyBorder="1"/>
    <xf numFmtId="167" fontId="99" fillId="0" borderId="60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4" fontId="0" fillId="68" borderId="63" xfId="0" applyNumberFormat="1" applyFont="1" applyFill="1" applyBorder="1" applyAlignment="1">
      <alignment vertical="center"/>
    </xf>
    <xf numFmtId="3" fontId="99" fillId="0" borderId="28" xfId="0" applyNumberFormat="1" applyFont="1" applyBorder="1"/>
    <xf numFmtId="3" fontId="99" fillId="0" borderId="60" xfId="0" applyNumberFormat="1" applyFont="1" applyBorder="1"/>
    <xf numFmtId="4" fontId="0" fillId="68" borderId="84" xfId="0" applyNumberFormat="1" applyFont="1" applyFill="1" applyBorder="1" applyAlignment="1">
      <alignment vertical="center"/>
    </xf>
    <xf numFmtId="167" fontId="0" fillId="68" borderId="60" xfId="0" applyNumberFormat="1" applyFill="1" applyBorder="1"/>
    <xf numFmtId="167" fontId="0" fillId="68" borderId="82" xfId="0" applyNumberFormat="1" applyFill="1" applyBorder="1"/>
    <xf numFmtId="182" fontId="99" fillId="0" borderId="78" xfId="0" applyNumberFormat="1" applyFont="1" applyBorder="1"/>
    <xf numFmtId="182" fontId="99" fillId="0" borderId="108" xfId="0" applyNumberFormat="1" applyFont="1" applyBorder="1"/>
    <xf numFmtId="3" fontId="0" fillId="68" borderId="60" xfId="0" applyNumberFormat="1" applyFill="1" applyBorder="1"/>
    <xf numFmtId="178" fontId="96" fillId="68" borderId="104" xfId="33743" applyNumberFormat="1" applyFont="1" applyFill="1" applyBorder="1" applyAlignment="1">
      <alignment horizontal="center"/>
    </xf>
    <xf numFmtId="178" fontId="96" fillId="0" borderId="32" xfId="33743" applyNumberFormat="1" applyFont="1" applyBorder="1" applyAlignment="1">
      <alignment horizontal="center"/>
    </xf>
    <xf numFmtId="167" fontId="0" fillId="68" borderId="30" xfId="0" applyNumberFormat="1" applyFill="1" applyBorder="1"/>
    <xf numFmtId="182" fontId="0" fillId="68" borderId="27" xfId="0" applyNumberFormat="1" applyFont="1" applyFill="1" applyBorder="1" applyAlignment="1">
      <alignment vertical="center"/>
    </xf>
    <xf numFmtId="182" fontId="0" fillId="68" borderId="63" xfId="0" applyNumberFormat="1" applyFont="1" applyFill="1" applyBorder="1" applyAlignment="1">
      <alignment vertical="center"/>
    </xf>
    <xf numFmtId="167" fontId="0" fillId="68" borderId="66" xfId="0" applyNumberFormat="1" applyFill="1" applyBorder="1" applyAlignment="1">
      <alignment horizontal="center" vertical="center"/>
    </xf>
    <xf numFmtId="167" fontId="0" fillId="68" borderId="62" xfId="0" applyNumberFormat="1" applyFill="1" applyBorder="1" applyAlignment="1">
      <alignment horizontal="center" vertical="center"/>
    </xf>
    <xf numFmtId="10" fontId="35" fillId="68" borderId="58" xfId="33743" applyNumberFormat="1" applyFont="1" applyFill="1" applyBorder="1" applyAlignment="1">
      <alignment horizontal="center" vertical="center"/>
    </xf>
    <xf numFmtId="167" fontId="0" fillId="68" borderId="102" xfId="0" applyNumberFormat="1" applyFill="1" applyBorder="1"/>
    <xf numFmtId="167" fontId="0" fillId="68" borderId="103" xfId="0" applyNumberFormat="1" applyFill="1" applyBorder="1"/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167" fontId="0" fillId="68" borderId="35" xfId="0" applyNumberFormat="1" applyFill="1" applyBorder="1"/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Enero 2022</a:t>
            </a:r>
          </a:p>
          <a:p>
            <a:pPr>
              <a:defRPr sz="800" b="1"/>
            </a:pPr>
            <a:r>
              <a:rPr lang="es-PE" sz="800" b="1"/>
              <a:t>Total : 4 955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66.059101226841136</c:v>
                </c:pt>
                <c:pt idx="1">
                  <c:v>122.68118799270499</c:v>
                </c:pt>
                <c:pt idx="2">
                  <c:v>2890.3236420253838</c:v>
                </c:pt>
                <c:pt idx="3">
                  <c:v>1653.4245820134904</c:v>
                </c:pt>
                <c:pt idx="4">
                  <c:v>222.27181305500005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2404.0371018277792</c:v>
                </c:pt>
                <c:pt idx="2" formatCode="_ * #,##0.00_ ;_ * \-#,##0.00_ ;_ * &quot;-&quot;??_ ;_ @_ ">
                  <c:v>6.4619999999999999E-3</c:v>
                </c:pt>
                <c:pt idx="3">
                  <c:v>1576.0192921102766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63.044502142500022</c:v>
                </c:pt>
                <c:pt idx="1">
                  <c:v>390.38269479199937</c:v>
                </c:pt>
                <c:pt idx="2">
                  <c:v>71.794325227500039</c:v>
                </c:pt>
                <c:pt idx="3">
                  <c:v>45.040770973549911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34.416195860833326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3980.0628559380557</c:v>
                </c:pt>
                <c:pt idx="1">
                  <c:v>570.26229313554938</c:v>
                </c:pt>
                <c:pt idx="2">
                  <c:v>370.01898137898263</c:v>
                </c:pt>
                <c:pt idx="3">
                  <c:v>34.416195860833326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ANCASH</c:v>
                </c:pt>
                <c:pt idx="5">
                  <c:v>CUSCO</c:v>
                </c:pt>
                <c:pt idx="6">
                  <c:v>CALLAO</c:v>
                </c:pt>
                <c:pt idx="7">
                  <c:v>CAJAMARCA</c:v>
                </c:pt>
                <c:pt idx="8">
                  <c:v>PIURA</c:v>
                </c:pt>
                <c:pt idx="9">
                  <c:v>ICA</c:v>
                </c:pt>
                <c:pt idx="10">
                  <c:v>LA LIBERTAD</c:v>
                </c:pt>
                <c:pt idx="11">
                  <c:v>AREQUIPA</c:v>
                </c:pt>
                <c:pt idx="12">
                  <c:v>PASCO</c:v>
                </c:pt>
                <c:pt idx="13">
                  <c:v>PUNO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LAMBAYEQUE</c:v>
                </c:pt>
                <c:pt idx="18">
                  <c:v>AMAZONAS</c:v>
                </c:pt>
                <c:pt idx="19">
                  <c:v>SAN MARTÍN</c:v>
                </c:pt>
                <c:pt idx="20">
                  <c:v>APURIMAC</c:v>
                </c:pt>
                <c:pt idx="21">
                  <c:v>UCAYALI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1950.0332674747904</c:v>
                </c:pt>
                <c:pt idx="1">
                  <c:v>939.25399958056562</c:v>
                </c:pt>
                <c:pt idx="2">
                  <c:v>298.13123406999989</c:v>
                </c:pt>
                <c:pt idx="3">
                  <c:v>266.26864035916657</c:v>
                </c:pt>
                <c:pt idx="4">
                  <c:v>237.55833307083333</c:v>
                </c:pt>
                <c:pt idx="5">
                  <c:v>198.6490255137586</c:v>
                </c:pt>
                <c:pt idx="6">
                  <c:v>193.80627212999994</c:v>
                </c:pt>
                <c:pt idx="7">
                  <c:v>143.28200826166676</c:v>
                </c:pt>
                <c:pt idx="8">
                  <c:v>110.10533769750533</c:v>
                </c:pt>
                <c:pt idx="9">
                  <c:v>106.39896605000003</c:v>
                </c:pt>
                <c:pt idx="10">
                  <c:v>102.17083758564391</c:v>
                </c:pt>
                <c:pt idx="11">
                  <c:v>95.794138106444677</c:v>
                </c:pt>
                <c:pt idx="12">
                  <c:v>92.969311416866702</c:v>
                </c:pt>
                <c:pt idx="13">
                  <c:v>84.95383579083331</c:v>
                </c:pt>
                <c:pt idx="14">
                  <c:v>65.039028293333331</c:v>
                </c:pt>
                <c:pt idx="15">
                  <c:v>34.416195860833326</c:v>
                </c:pt>
                <c:pt idx="16">
                  <c:v>14.489336051666671</c:v>
                </c:pt>
                <c:pt idx="17">
                  <c:v>5.2281859408333338</c:v>
                </c:pt>
                <c:pt idx="18">
                  <c:v>4.1983393933333337</c:v>
                </c:pt>
                <c:pt idx="19">
                  <c:v>3.9337245000000003</c:v>
                </c:pt>
                <c:pt idx="20">
                  <c:v>3.8315436666666671</c:v>
                </c:pt>
                <c:pt idx="21">
                  <c:v>2.0417978358333335</c:v>
                </c:pt>
                <c:pt idx="22">
                  <c:v>1.1005480000000003</c:v>
                </c:pt>
                <c:pt idx="23">
                  <c:v>0.99607403784617776</c:v>
                </c:pt>
                <c:pt idx="24">
                  <c:v>0.11034562500000002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3445.5474541510512</c:v>
                </c:pt>
                <c:pt idx="1">
                  <c:v>1194.2835862986797</c:v>
                </c:pt>
                <c:pt idx="2">
                  <c:v>159.17320367750003</c:v>
                </c:pt>
                <c:pt idx="3">
                  <c:v>72.948053459999997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2956.3827432522248</c:v>
                </c:pt>
                <c:pt idx="1">
                  <c:v>1776.1057700061954</c:v>
                </c:pt>
                <c:pt idx="2">
                  <c:v>150.47748782750003</c:v>
                </c:pt>
                <c:pt idx="3">
                  <c:v>71.794325227500039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175.29830279723109</c:v>
                </c:pt>
                <c:pt idx="1">
                  <c:v>179.5688748155074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4696.6539947899992</c:v>
                </c:pt>
                <c:pt idx="1">
                  <c:v>4775.1914514979126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3192.0210524235513</c:v>
                </c:pt>
                <c:pt idx="1">
                  <c:v>2776.2710972172245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1152.7817728836794</c:v>
                </c:pt>
                <c:pt idx="1">
                  <c:v>1724.6351001670198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253.52640172750009</c:v>
                </c:pt>
                <c:pt idx="1">
                  <c:v>180.11164603500018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273.62307055250005</c:v>
                </c:pt>
                <c:pt idx="1">
                  <c:v>273.74248289417562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2956.3827432522248</c:v>
                </c:pt>
                <c:pt idx="1">
                  <c:v>1598.4951930055759</c:v>
                </c:pt>
                <c:pt idx="2">
                  <c:v>125.89454478545758</c:v>
                </c:pt>
                <c:pt idx="3">
                  <c:v>51.470669839175571</c:v>
                </c:pt>
                <c:pt idx="4">
                  <c:v>150.47748782750003</c:v>
                </c:pt>
                <c:pt idx="5">
                  <c:v>71.794325227500039</c:v>
                </c:pt>
                <c:pt idx="6" formatCode="#,##0.0">
                  <c:v>0.24536237598540997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4598.329227034731</c:v>
                </c:pt>
                <c:pt idx="1">
                  <c:v>4681.0178434192439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#,##0.0</c:formatCode>
                <c:ptCount val="2"/>
                <c:pt idx="0">
                  <c:v>273.62307055250005</c:v>
                </c:pt>
                <c:pt idx="1">
                  <c:v>273.74248289417562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69819053334353E-2"/>
                  <c:y val="3.91331014889982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58280284038E-2"/>
                  <c:y val="3.355362147417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5.6162920701832035E-2</c:v>
                </c:pt>
                <c:pt idx="1">
                  <c:v>5.5248380318297499E-2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4467361856936206"/>
                  <c:y val="-0.120828244954725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3445.5474541510512</c:v>
                </c:pt>
                <c:pt idx="1">
                  <c:v>1075.6490756550002</c:v>
                </c:pt>
                <c:pt idx="2">
                  <c:v>76.878648228679594</c:v>
                </c:pt>
                <c:pt idx="3" formatCode="#,##0.00">
                  <c:v>0.25404900000000002</c:v>
                </c:pt>
                <c:pt idx="4">
                  <c:v>41.501813415000015</c:v>
                </c:pt>
                <c:pt idx="5">
                  <c:v>159.17320367750003</c:v>
                </c:pt>
                <c:pt idx="6">
                  <c:v>72.948053459999997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0617613973811689"/>
                  <c:y val="-0.135238103925259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9.4089860584307822E-2"/>
                  <c:y val="0.289613966445675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2956.3827432522248</c:v>
                </c:pt>
                <c:pt idx="1">
                  <c:v>1598.4951930055759</c:v>
                </c:pt>
                <c:pt idx="2">
                  <c:v>125.89454478545758</c:v>
                </c:pt>
                <c:pt idx="3" formatCode="#,##0.00">
                  <c:v>0.24536237598540997</c:v>
                </c:pt>
                <c:pt idx="4">
                  <c:v>51.470669839175571</c:v>
                </c:pt>
                <c:pt idx="5">
                  <c:v>150.47748782750003</c:v>
                </c:pt>
                <c:pt idx="6">
                  <c:v>71.794325227500039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87.432985685000006</c:v>
                </c:pt>
                <c:pt idx="1">
                  <c:v>161.96294663244572</c:v>
                </c:pt>
                <c:pt idx="2">
                  <c:v>0</c:v>
                </c:pt>
                <c:pt idx="3">
                  <c:v>120.6230490615369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enero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61354" y="953714"/>
          <a:ext cx="6866292" cy="239879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3948" y="3313521"/>
          <a:ext cx="4118827" cy="5701542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view="pageBreakPreview" topLeftCell="A10" zoomScaleNormal="120" zoomScaleSheetLayoutView="100" workbookViewId="0">
      <selection activeCell="B1" sqref="B1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118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0"/>
      <c r="D8" s="130"/>
      <c r="E8" s="130"/>
      <c r="F8" s="130"/>
      <c r="G8" s="130"/>
      <c r="H8" s="9"/>
      <c r="I8" s="9"/>
      <c r="J8" s="9"/>
      <c r="K8" s="9"/>
    </row>
    <row r="9" spans="2:19" s="1" customFormat="1" ht="26.4">
      <c r="B9" s="8"/>
      <c r="C9" s="180" t="s">
        <v>62</v>
      </c>
      <c r="D9" s="181" t="s">
        <v>69</v>
      </c>
      <c r="E9" s="182" t="s">
        <v>70</v>
      </c>
      <c r="F9" s="183" t="s">
        <v>71</v>
      </c>
      <c r="G9" s="184" t="s">
        <v>72</v>
      </c>
      <c r="H9" s="9"/>
      <c r="I9" s="9"/>
      <c r="J9" s="9"/>
      <c r="K9" s="9"/>
    </row>
    <row r="10" spans="2:19" s="1" customFormat="1" ht="13.8" thickBot="1">
      <c r="B10" s="8"/>
      <c r="C10" s="185" t="s">
        <v>63</v>
      </c>
      <c r="D10" s="186"/>
      <c r="E10" s="187"/>
      <c r="F10" s="188"/>
      <c r="G10" s="189"/>
      <c r="H10" s="9"/>
      <c r="I10" s="9"/>
      <c r="J10" s="9"/>
      <c r="K10" s="9"/>
    </row>
    <row r="11" spans="2:19" s="1" customFormat="1" ht="13.8" thickTop="1">
      <c r="B11" s="8"/>
      <c r="C11" s="131"/>
      <c r="D11" s="132"/>
      <c r="E11" s="133"/>
      <c r="F11" s="134"/>
      <c r="G11" s="135"/>
      <c r="H11" s="9"/>
      <c r="I11" s="9"/>
      <c r="J11" s="9"/>
      <c r="K11" s="9"/>
      <c r="Q11" s="382" t="s">
        <v>64</v>
      </c>
      <c r="R11" s="145" t="s">
        <v>41</v>
      </c>
      <c r="S11" s="146">
        <f>E12</f>
        <v>66.059101226841136</v>
      </c>
    </row>
    <row r="12" spans="2:19" s="1" customFormat="1">
      <c r="B12" s="8"/>
      <c r="C12" s="136" t="s">
        <v>66</v>
      </c>
      <c r="D12" s="137">
        <v>2890.3236420253838</v>
      </c>
      <c r="E12" s="138">
        <v>66.059101226841136</v>
      </c>
      <c r="F12" s="139">
        <f>SUM(D12:E12)</f>
        <v>2956.3827432522248</v>
      </c>
      <c r="G12" s="334">
        <f>(F12/F$16)</f>
        <v>0.59667522716520893</v>
      </c>
      <c r="H12" s="9"/>
      <c r="I12" s="9"/>
      <c r="J12" s="9"/>
      <c r="K12" s="9"/>
      <c r="Q12" s="382"/>
      <c r="R12" s="145" t="s">
        <v>73</v>
      </c>
      <c r="S12" s="146">
        <f>E13</f>
        <v>122.68118799270499</v>
      </c>
    </row>
    <row r="13" spans="2:19" s="1" customFormat="1">
      <c r="B13" s="8"/>
      <c r="C13" s="136" t="s">
        <v>65</v>
      </c>
      <c r="D13" s="137">
        <v>1653.4245820134904</v>
      </c>
      <c r="E13" s="138">
        <v>122.68118799270499</v>
      </c>
      <c r="F13" s="139">
        <f>SUM(D13:E13)</f>
        <v>1776.1057700061954</v>
      </c>
      <c r="G13" s="334">
        <f>(F13/F$16)+0.001</f>
        <v>0.35946451756178149</v>
      </c>
      <c r="H13" s="9"/>
      <c r="I13" s="9"/>
      <c r="J13" s="9"/>
      <c r="K13" s="9"/>
      <c r="Q13" s="382" t="s">
        <v>88</v>
      </c>
      <c r="R13" s="145" t="s">
        <v>41</v>
      </c>
      <c r="S13" s="146">
        <f>D12</f>
        <v>2890.3236420253838</v>
      </c>
    </row>
    <row r="14" spans="2:19" s="1" customFormat="1">
      <c r="B14" s="8"/>
      <c r="C14" s="136" t="s">
        <v>67</v>
      </c>
      <c r="D14" s="137">
        <v>150.47748782750003</v>
      </c>
      <c r="E14" s="140"/>
      <c r="F14" s="139">
        <f>SUM(D14:E14)</f>
        <v>150.47748782750003</v>
      </c>
      <c r="G14" s="334">
        <f>(F14/F$16)</f>
        <v>3.0370285930553274E-2</v>
      </c>
      <c r="H14" s="9"/>
      <c r="I14" s="9"/>
      <c r="J14" s="9"/>
      <c r="K14" s="9"/>
      <c r="Q14" s="382"/>
      <c r="R14" s="145" t="s">
        <v>73</v>
      </c>
      <c r="S14" s="146">
        <f>D13</f>
        <v>1653.4245820134904</v>
      </c>
    </row>
    <row r="15" spans="2:19" s="1" customFormat="1" ht="13.8" thickBot="1">
      <c r="B15" s="8"/>
      <c r="C15" s="141" t="s">
        <v>5</v>
      </c>
      <c r="D15" s="142">
        <v>71.794325227500039</v>
      </c>
      <c r="E15" s="143"/>
      <c r="F15" s="144">
        <f>SUM(D15:E15)</f>
        <v>71.794325227500039</v>
      </c>
      <c r="G15" s="335">
        <f>(F15/F$16)</f>
        <v>1.448996934245626E-2</v>
      </c>
      <c r="H15" s="9"/>
      <c r="I15" s="9"/>
      <c r="J15" s="9"/>
      <c r="K15" s="9"/>
      <c r="Q15" s="382"/>
      <c r="R15" s="145" t="s">
        <v>87</v>
      </c>
      <c r="S15" s="146">
        <f>SUM(D14:D15)</f>
        <v>222.27181305500005</v>
      </c>
    </row>
    <row r="16" spans="2:19" s="1" customFormat="1" ht="13.8" thickTop="1">
      <c r="B16" s="8"/>
      <c r="C16" s="246" t="s">
        <v>71</v>
      </c>
      <c r="D16" s="247">
        <f>SUM(D12:D15)</f>
        <v>4766.0200370938746</v>
      </c>
      <c r="E16" s="248">
        <f>SUM(E12:E15)</f>
        <v>188.74028921954613</v>
      </c>
      <c r="F16" s="249">
        <f>SUM(F12:F15)</f>
        <v>4954.7603263134206</v>
      </c>
      <c r="G16" s="250"/>
      <c r="H16" s="9"/>
      <c r="I16" s="9"/>
      <c r="J16" s="9"/>
      <c r="K16" s="9"/>
    </row>
    <row r="17" spans="2:19" s="1" customFormat="1">
      <c r="B17" s="8"/>
      <c r="C17" s="251" t="s">
        <v>109</v>
      </c>
      <c r="D17" s="316">
        <f>D16/F16</f>
        <v>0.96190728172719153</v>
      </c>
      <c r="E17" s="317">
        <f>E16/F16</f>
        <v>3.8092718272808558E-2</v>
      </c>
      <c r="F17" s="252"/>
      <c r="G17" s="253"/>
      <c r="H17" s="9"/>
      <c r="I17" s="9"/>
      <c r="J17" s="9"/>
      <c r="K17" s="9"/>
    </row>
    <row r="18" spans="2:19" s="1" customFormat="1">
      <c r="B18" s="8"/>
      <c r="C18" s="131"/>
      <c r="D18" s="131"/>
      <c r="E18" s="131"/>
      <c r="F18" s="131"/>
      <c r="G18" s="131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121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1"/>
      <c r="D22" s="131"/>
      <c r="E22" s="131"/>
      <c r="F22" s="131"/>
      <c r="G22" s="131"/>
      <c r="H22" s="130"/>
      <c r="I22" s="130"/>
      <c r="J22" s="130"/>
      <c r="K22" s="9"/>
    </row>
    <row r="23" spans="2:19" s="1" customFormat="1" ht="12.75" customHeight="1">
      <c r="B23" s="8"/>
      <c r="C23" s="378" t="s">
        <v>112</v>
      </c>
      <c r="D23" s="379"/>
      <c r="E23" s="383" t="s">
        <v>119</v>
      </c>
      <c r="F23" s="384"/>
      <c r="G23" s="150" t="s">
        <v>74</v>
      </c>
      <c r="H23" s="385" t="s">
        <v>120</v>
      </c>
      <c r="I23" s="386"/>
      <c r="J23" s="150" t="s">
        <v>74</v>
      </c>
      <c r="K23" s="9"/>
      <c r="Q23" s="145"/>
      <c r="R23" s="145">
        <v>2021</v>
      </c>
      <c r="S23" s="145">
        <v>2022</v>
      </c>
    </row>
    <row r="24" spans="2:19" s="1" customFormat="1" ht="12.75" customHeight="1">
      <c r="B24" s="8"/>
      <c r="C24" s="151"/>
      <c r="D24" s="152"/>
      <c r="E24" s="153">
        <v>2021</v>
      </c>
      <c r="F24" s="154">
        <v>2022</v>
      </c>
      <c r="G24" s="155"/>
      <c r="H24" s="235">
        <v>2020</v>
      </c>
      <c r="I24" s="154">
        <v>2021</v>
      </c>
      <c r="J24" s="155"/>
      <c r="K24" s="9"/>
      <c r="Q24" s="145" t="s">
        <v>76</v>
      </c>
      <c r="R24" s="146">
        <f>E29</f>
        <v>175.29830279723109</v>
      </c>
      <c r="S24" s="146">
        <f>F29</f>
        <v>179.5688748155074</v>
      </c>
    </row>
    <row r="25" spans="2:19" s="1" customFormat="1">
      <c r="B25" s="8"/>
      <c r="C25" s="374" t="s">
        <v>0</v>
      </c>
      <c r="D25" s="375"/>
      <c r="E25" s="190">
        <f>SUM(E26:E28)</f>
        <v>4696.6539947899992</v>
      </c>
      <c r="F25" s="191">
        <f>SUM(F26:F28)</f>
        <v>4775.1914514979126</v>
      </c>
      <c r="G25" s="192">
        <f>((F25/E25)-1)</f>
        <v>1.6722001832588651E-2</v>
      </c>
      <c r="H25" s="236">
        <f>SUM(H26:H28)</f>
        <v>50676.709019480848</v>
      </c>
      <c r="I25" s="191">
        <f>SUM(I26:I28)</f>
        <v>55501.613490490796</v>
      </c>
      <c r="J25" s="192">
        <f>((I25/H25)-1)</f>
        <v>9.5209506780623565E-2</v>
      </c>
      <c r="K25" s="9"/>
      <c r="Q25" s="145" t="s">
        <v>0</v>
      </c>
      <c r="R25" s="146">
        <f>E25</f>
        <v>4696.6539947899992</v>
      </c>
      <c r="S25" s="146">
        <f>F25</f>
        <v>4775.1914514979126</v>
      </c>
    </row>
    <row r="26" spans="2:19" s="1" customFormat="1">
      <c r="B26" s="8"/>
      <c r="C26" s="266" t="s">
        <v>62</v>
      </c>
      <c r="D26" s="275" t="s">
        <v>102</v>
      </c>
      <c r="E26" s="157">
        <v>4557.4386049524992</v>
      </c>
      <c r="F26" s="158">
        <v>4635.431088077502</v>
      </c>
      <c r="G26" s="278">
        <f t="shared" ref="G26:G32" si="0">((F26/E26)-1)</f>
        <v>1.7113227381768681E-2</v>
      </c>
      <c r="H26" s="237">
        <v>49196.557646512483</v>
      </c>
      <c r="I26" s="158">
        <v>53985.567633538994</v>
      </c>
      <c r="J26" s="159">
        <f t="shared" ref="J26:J32" si="1">((I26/H26)-1)</f>
        <v>9.7344412213483444E-2</v>
      </c>
      <c r="K26" s="9"/>
    </row>
    <row r="27" spans="2:19" s="1" customFormat="1">
      <c r="B27" s="8"/>
      <c r="C27" s="267" t="s">
        <v>106</v>
      </c>
      <c r="D27" s="276" t="s">
        <v>77</v>
      </c>
      <c r="E27" s="372">
        <v>88.583103837500033</v>
      </c>
      <c r="F27" s="373">
        <v>88.800485331132791</v>
      </c>
      <c r="G27" s="364">
        <f t="shared" si="0"/>
        <v>2.4539837081294369E-3</v>
      </c>
      <c r="H27" s="271">
        <v>1007.3714552909196</v>
      </c>
      <c r="I27" s="270">
        <v>1028.2642510397998</v>
      </c>
      <c r="J27" s="364">
        <f t="shared" si="1"/>
        <v>2.0739912411799066E-2</v>
      </c>
      <c r="K27" s="9"/>
    </row>
    <row r="28" spans="2:19" s="1" customFormat="1">
      <c r="B28" s="8"/>
      <c r="C28" s="268" t="s">
        <v>64</v>
      </c>
      <c r="D28" s="277" t="s">
        <v>77</v>
      </c>
      <c r="E28" s="366">
        <v>50.632286000000001</v>
      </c>
      <c r="F28" s="409">
        <v>50.959878089277453</v>
      </c>
      <c r="G28" s="278">
        <f t="shared" si="0"/>
        <v>6.4700236777270881E-3</v>
      </c>
      <c r="H28" s="237">
        <v>472.77991767744601</v>
      </c>
      <c r="I28" s="158">
        <v>487.78160591200003</v>
      </c>
      <c r="J28" s="278">
        <f t="shared" si="1"/>
        <v>3.1730806816521628E-2</v>
      </c>
      <c r="K28" s="9"/>
    </row>
    <row r="29" spans="2:19" s="1" customFormat="1">
      <c r="B29" s="8"/>
      <c r="C29" s="374" t="s">
        <v>76</v>
      </c>
      <c r="D29" s="375"/>
      <c r="E29" s="190">
        <f>SUM(E30:E31)</f>
        <v>175.29830279723109</v>
      </c>
      <c r="F29" s="191">
        <f>SUM(F30:F31)</f>
        <v>179.5688748155074</v>
      </c>
      <c r="G29" s="192">
        <f t="shared" si="0"/>
        <v>2.4361741957171779E-2</v>
      </c>
      <c r="H29" s="236">
        <f>SUM(H30:H31)</f>
        <v>2057.7582909150719</v>
      </c>
      <c r="I29" s="191">
        <f>SUM(I30:I31)</f>
        <v>1868.2207960220121</v>
      </c>
      <c r="J29" s="192">
        <f t="shared" si="1"/>
        <v>-9.2108726146244213E-2</v>
      </c>
      <c r="K29" s="9"/>
      <c r="Q29" s="145"/>
      <c r="R29" s="145"/>
      <c r="S29" s="145"/>
    </row>
    <row r="30" spans="2:19" s="1" customFormat="1">
      <c r="B30" s="8"/>
      <c r="C30" s="272" t="s">
        <v>68</v>
      </c>
      <c r="D30" s="152"/>
      <c r="E30" s="157">
        <v>39.532106500000012</v>
      </c>
      <c r="F30" s="158">
        <v>41.788463685238732</v>
      </c>
      <c r="G30" s="278">
        <f t="shared" si="0"/>
        <v>5.7076573575423284E-2</v>
      </c>
      <c r="H30" s="237">
        <v>453.10779300136204</v>
      </c>
      <c r="I30" s="158">
        <v>484.35293621538011</v>
      </c>
      <c r="J30" s="278">
        <f t="shared" si="1"/>
        <v>6.8957417410660415E-2</v>
      </c>
      <c r="K30" s="9"/>
    </row>
    <row r="31" spans="2:19" s="1" customFormat="1" ht="13.8" thickBot="1">
      <c r="B31" s="8"/>
      <c r="C31" s="273" t="s">
        <v>64</v>
      </c>
      <c r="D31" s="274"/>
      <c r="E31" s="161">
        <v>135.76619629723109</v>
      </c>
      <c r="F31" s="162">
        <v>137.78041113026867</v>
      </c>
      <c r="G31" s="300">
        <f t="shared" si="0"/>
        <v>1.4835908259725361E-2</v>
      </c>
      <c r="H31" s="238">
        <v>1604.6504979137101</v>
      </c>
      <c r="I31" s="162">
        <v>1383.8678598066319</v>
      </c>
      <c r="J31" s="300">
        <f t="shared" si="1"/>
        <v>-0.13758923727885242</v>
      </c>
      <c r="K31" s="9"/>
    </row>
    <row r="32" spans="2:19" s="1" customFormat="1" ht="14.4" thickTop="1" thickBot="1">
      <c r="B32" s="8"/>
      <c r="C32" s="376" t="s">
        <v>108</v>
      </c>
      <c r="D32" s="377"/>
      <c r="E32" s="193">
        <f>SUM(E25,E29)</f>
        <v>4871.9522975872305</v>
      </c>
      <c r="F32" s="194">
        <f>SUM(F25,F29)</f>
        <v>4954.7603263134197</v>
      </c>
      <c r="G32" s="195">
        <f t="shared" si="0"/>
        <v>1.699688824276846E-2</v>
      </c>
      <c r="H32" s="239">
        <f>SUM(H25,H29)</f>
        <v>52734.467310395921</v>
      </c>
      <c r="I32" s="194">
        <f>SUM(I25,I29)</f>
        <v>57369.834286512807</v>
      </c>
      <c r="J32" s="195">
        <f t="shared" si="1"/>
        <v>8.7900138420533125E-2</v>
      </c>
      <c r="K32" s="9"/>
    </row>
    <row r="33" spans="2:19" s="1" customFormat="1">
      <c r="B33" s="8"/>
      <c r="C33" s="311" t="s">
        <v>103</v>
      </c>
      <c r="D33" s="164"/>
      <c r="E33" s="164"/>
      <c r="F33" s="165"/>
      <c r="G33" s="130"/>
      <c r="H33" s="164"/>
      <c r="I33" s="164"/>
      <c r="J33" s="130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123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8"/>
      <c r="D38" s="149"/>
      <c r="E38" s="383" t="s">
        <v>119</v>
      </c>
      <c r="F38" s="384"/>
      <c r="G38" s="380" t="s">
        <v>74</v>
      </c>
      <c r="H38" s="385" t="s">
        <v>120</v>
      </c>
      <c r="I38" s="386"/>
      <c r="J38" s="380" t="s">
        <v>74</v>
      </c>
      <c r="K38" s="9"/>
      <c r="Q38" s="145"/>
      <c r="R38" s="145">
        <v>2021</v>
      </c>
      <c r="S38" s="145">
        <v>2022</v>
      </c>
    </row>
    <row r="39" spans="2:19" s="1" customFormat="1" ht="12.75" customHeight="1">
      <c r="B39" s="8"/>
      <c r="C39" s="151" t="s">
        <v>75</v>
      </c>
      <c r="D39" s="152"/>
      <c r="E39" s="153">
        <v>2021</v>
      </c>
      <c r="F39" s="154">
        <v>2022</v>
      </c>
      <c r="G39" s="381"/>
      <c r="H39" s="240">
        <v>2020</v>
      </c>
      <c r="I39" s="93">
        <v>2021</v>
      </c>
      <c r="J39" s="381"/>
      <c r="K39" s="9"/>
      <c r="Q39" s="145" t="s">
        <v>66</v>
      </c>
      <c r="R39" s="146">
        <f>SUM(E41,E46)</f>
        <v>3445.5474541510512</v>
      </c>
      <c r="S39" s="146">
        <f>SUM(F41,F46)</f>
        <v>2956.3827432522248</v>
      </c>
    </row>
    <row r="40" spans="2:19" s="1" customFormat="1">
      <c r="B40" s="8"/>
      <c r="C40" s="374" t="s">
        <v>68</v>
      </c>
      <c r="D40" s="375"/>
      <c r="E40" s="190">
        <f>SUM(E41:E44)</f>
        <v>4685.553815289999</v>
      </c>
      <c r="F40" s="191">
        <f>SUM(F41:F44)</f>
        <v>4766.0200370938746</v>
      </c>
      <c r="G40" s="192">
        <f>((F40/E40)-1)</f>
        <v>1.7173257415440846E-2</v>
      </c>
      <c r="H40" s="236">
        <f>SUM(H41:H44)</f>
        <v>50657.036894804784</v>
      </c>
      <c r="I40" s="191">
        <f>SUM(I41:I44)</f>
        <v>55498.18482079418</v>
      </c>
      <c r="J40" s="192">
        <f>((I40/H40)-1)</f>
        <v>9.5567135836282846E-2</v>
      </c>
      <c r="K40" s="9"/>
      <c r="Q40" s="145" t="s">
        <v>65</v>
      </c>
      <c r="R40" s="146">
        <f>SUM(E42,E47)</f>
        <v>1194.2835862986797</v>
      </c>
      <c r="S40" s="146">
        <f>SUM(F42,F47)</f>
        <v>1776.1057700061954</v>
      </c>
    </row>
    <row r="41" spans="2:19" s="1" customFormat="1">
      <c r="B41" s="8"/>
      <c r="C41" s="156" t="s">
        <v>66</v>
      </c>
      <c r="D41" s="131"/>
      <c r="E41" s="157">
        <v>3377.4170507224999</v>
      </c>
      <c r="F41" s="158">
        <f>D12</f>
        <v>2890.3236420253838</v>
      </c>
      <c r="G41" s="278">
        <f t="shared" ref="G41:G48" si="2">((F41/E41)-1)</f>
        <v>-0.14422068740160965</v>
      </c>
      <c r="H41" s="237">
        <v>29895.470950804785</v>
      </c>
      <c r="I41" s="158">
        <v>31292.184269890677</v>
      </c>
      <c r="J41" s="278">
        <f t="shared" ref="J41:J48" si="3">((I41/H41)-1)</f>
        <v>4.6719896849402032E-2</v>
      </c>
      <c r="K41" s="9"/>
      <c r="Q41" s="145" t="s">
        <v>67</v>
      </c>
      <c r="R41" s="146">
        <f>E43</f>
        <v>159.17320367750003</v>
      </c>
      <c r="S41" s="146">
        <f>F43</f>
        <v>150.47748782750003</v>
      </c>
    </row>
    <row r="42" spans="2:19" s="1" customFormat="1">
      <c r="B42" s="8"/>
      <c r="C42" s="156" t="s">
        <v>65</v>
      </c>
      <c r="D42" s="131"/>
      <c r="E42" s="157">
        <v>1076.0155074299996</v>
      </c>
      <c r="F42" s="158">
        <f>D13</f>
        <v>1653.4245820134904</v>
      </c>
      <c r="G42" s="278">
        <f t="shared" si="2"/>
        <v>0.53661780020494199</v>
      </c>
      <c r="H42" s="237">
        <v>18169.253181</v>
      </c>
      <c r="I42" s="158">
        <v>21602.142186996007</v>
      </c>
      <c r="J42" s="278">
        <f t="shared" si="3"/>
        <v>0.18893946668021866</v>
      </c>
      <c r="K42" s="9"/>
      <c r="Q42" s="145" t="s">
        <v>5</v>
      </c>
      <c r="R42" s="146">
        <f>E44</f>
        <v>72.948053459999997</v>
      </c>
      <c r="S42" s="146">
        <f>F44</f>
        <v>71.794325227500039</v>
      </c>
    </row>
    <row r="43" spans="2:19" s="1" customFormat="1">
      <c r="B43" s="8"/>
      <c r="C43" s="156" t="s">
        <v>67</v>
      </c>
      <c r="D43" s="131"/>
      <c r="E43" s="157">
        <v>159.17320367750003</v>
      </c>
      <c r="F43" s="158">
        <f>D14</f>
        <v>150.47748782750003</v>
      </c>
      <c r="G43" s="278">
        <f t="shared" si="2"/>
        <v>-5.4630526050216011E-2</v>
      </c>
      <c r="H43" s="237">
        <v>1814.1021009999997</v>
      </c>
      <c r="I43" s="158">
        <v>1801.8623014</v>
      </c>
      <c r="J43" s="278">
        <f t="shared" si="3"/>
        <v>-6.7470290637184904E-3</v>
      </c>
      <c r="K43" s="9"/>
    </row>
    <row r="44" spans="2:19" s="1" customFormat="1">
      <c r="B44" s="8"/>
      <c r="C44" s="156" t="s">
        <v>5</v>
      </c>
      <c r="D44" s="131"/>
      <c r="E44" s="157">
        <v>72.948053459999997</v>
      </c>
      <c r="F44" s="158">
        <f>D15</f>
        <v>71.794325227500039</v>
      </c>
      <c r="G44" s="365">
        <f t="shared" si="2"/>
        <v>-1.5815750767531944E-2</v>
      </c>
      <c r="H44" s="237">
        <v>778.21066199999973</v>
      </c>
      <c r="I44" s="158">
        <v>801.99606250750003</v>
      </c>
      <c r="J44" s="159">
        <f t="shared" si="3"/>
        <v>3.0564218236707186E-2</v>
      </c>
      <c r="K44" s="9"/>
      <c r="Q44" s="145"/>
      <c r="R44" s="145"/>
      <c r="S44" s="145"/>
    </row>
    <row r="45" spans="2:19" s="1" customFormat="1">
      <c r="B45" s="8"/>
      <c r="C45" s="374" t="s">
        <v>64</v>
      </c>
      <c r="D45" s="375"/>
      <c r="E45" s="190">
        <f>SUM(E46:E47)</f>
        <v>186.39848229723114</v>
      </c>
      <c r="F45" s="191">
        <f>SUM(F46:F47)</f>
        <v>188.74028921954613</v>
      </c>
      <c r="G45" s="192">
        <f t="shared" si="2"/>
        <v>1.2563444151764802E-2</v>
      </c>
      <c r="H45" s="236">
        <f>SUM(H46:H47)</f>
        <v>2077.4304155911564</v>
      </c>
      <c r="I45" s="191">
        <f>SUM(I46:I47)</f>
        <v>1871.6494657186322</v>
      </c>
      <c r="J45" s="192">
        <f t="shared" si="3"/>
        <v>-9.9055519900033251E-2</v>
      </c>
      <c r="K45" s="9"/>
    </row>
    <row r="46" spans="2:19" s="1" customFormat="1">
      <c r="B46" s="8"/>
      <c r="C46" s="156" t="s">
        <v>66</v>
      </c>
      <c r="D46" s="131"/>
      <c r="E46" s="157">
        <v>68.130403428551105</v>
      </c>
      <c r="F46" s="158">
        <f>E12</f>
        <v>66.059101226841136</v>
      </c>
      <c r="G46" s="159">
        <f t="shared" si="2"/>
        <v>-3.0402024609793465E-2</v>
      </c>
      <c r="H46" s="237">
        <v>610.64283987829992</v>
      </c>
      <c r="I46" s="158">
        <v>648.47842216714855</v>
      </c>
      <c r="J46" s="159">
        <f t="shared" si="3"/>
        <v>6.1960248803358153E-2</v>
      </c>
      <c r="K46" s="9"/>
    </row>
    <row r="47" spans="2:19" s="1" customFormat="1" ht="13.8" thickBot="1">
      <c r="B47" s="8"/>
      <c r="C47" s="160" t="s">
        <v>65</v>
      </c>
      <c r="D47" s="131"/>
      <c r="E47" s="161">
        <v>118.26807886868004</v>
      </c>
      <c r="F47" s="162">
        <f>E13</f>
        <v>122.68118799270499</v>
      </c>
      <c r="G47" s="300">
        <f t="shared" si="2"/>
        <v>3.7314456836024856E-2</v>
      </c>
      <c r="H47" s="238">
        <v>1466.7875757128563</v>
      </c>
      <c r="I47" s="162">
        <v>1223.1710435514835</v>
      </c>
      <c r="J47" s="163">
        <f t="shared" si="3"/>
        <v>-0.16608848901857898</v>
      </c>
      <c r="K47" s="9"/>
    </row>
    <row r="48" spans="2:19" s="1" customFormat="1" ht="14.4" thickTop="1" thickBot="1">
      <c r="B48" s="8"/>
      <c r="C48" s="376" t="s">
        <v>108</v>
      </c>
      <c r="D48" s="377"/>
      <c r="E48" s="193">
        <f>SUM(E40,E45)</f>
        <v>4871.9522975872305</v>
      </c>
      <c r="F48" s="194">
        <f>SUM(F40,F45)</f>
        <v>4954.7603263134206</v>
      </c>
      <c r="G48" s="195">
        <f t="shared" si="2"/>
        <v>1.6996888242768682E-2</v>
      </c>
      <c r="H48" s="239">
        <f>SUM(H40,H45)</f>
        <v>52734.467310395943</v>
      </c>
      <c r="I48" s="194">
        <f>SUM(I40,I45)</f>
        <v>57369.834286512814</v>
      </c>
      <c r="J48" s="195">
        <f t="shared" si="3"/>
        <v>8.7900138420532903E-2</v>
      </c>
      <c r="K48" s="9"/>
    </row>
    <row r="49" spans="2:23" s="1" customFormat="1">
      <c r="B49" s="8"/>
      <c r="C49" s="264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122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9"/>
    </row>
    <row r="53" spans="2:23" s="1" customFormat="1" ht="13.8" thickBot="1">
      <c r="B53" s="8"/>
      <c r="C53" s="10"/>
      <c r="H53" s="9"/>
      <c r="I53" s="9"/>
      <c r="J53" s="9"/>
      <c r="K53" s="9"/>
      <c r="L53" s="259"/>
      <c r="M53" s="259"/>
    </row>
    <row r="54" spans="2:23" s="1" customFormat="1" ht="12.75" customHeight="1">
      <c r="B54" s="8"/>
      <c r="C54" s="148"/>
      <c r="D54" s="149"/>
      <c r="E54" s="383" t="s">
        <v>119</v>
      </c>
      <c r="F54" s="384"/>
      <c r="G54" s="380" t="s">
        <v>74</v>
      </c>
      <c r="H54" s="385" t="s">
        <v>120</v>
      </c>
      <c r="I54" s="386"/>
      <c r="J54" s="380" t="s">
        <v>74</v>
      </c>
      <c r="K54" s="9"/>
      <c r="L54" s="259"/>
      <c r="M54" s="259"/>
    </row>
    <row r="55" spans="2:23" s="1" customFormat="1" ht="12.75" customHeight="1">
      <c r="B55" s="8"/>
      <c r="C55" s="151" t="s">
        <v>75</v>
      </c>
      <c r="D55" s="152"/>
      <c r="E55" s="153">
        <v>2021</v>
      </c>
      <c r="F55" s="154">
        <v>2022</v>
      </c>
      <c r="G55" s="381"/>
      <c r="H55" s="240">
        <v>2020</v>
      </c>
      <c r="I55" s="93">
        <v>2021</v>
      </c>
      <c r="J55" s="381"/>
      <c r="K55" s="9"/>
      <c r="L55" s="259"/>
      <c r="M55" s="259"/>
    </row>
    <row r="56" spans="2:23" s="1" customFormat="1">
      <c r="B56" s="8"/>
      <c r="C56" s="374" t="s">
        <v>68</v>
      </c>
      <c r="D56" s="375"/>
      <c r="E56" s="190">
        <f>SUM(E57:E60)</f>
        <v>4685.553815289999</v>
      </c>
      <c r="F56" s="191">
        <f>SUM(F57:F60)</f>
        <v>4766.0200370938746</v>
      </c>
      <c r="G56" s="192">
        <f>((F56/E56)-1)</f>
        <v>1.7173257415440846E-2</v>
      </c>
      <c r="H56" s="236">
        <f>SUM(H57:H60)</f>
        <v>50657.036894804784</v>
      </c>
      <c r="I56" s="191">
        <f>SUM(I57:I60)</f>
        <v>55498.18482079418</v>
      </c>
      <c r="J56" s="192">
        <f>((I56/H56)-1)</f>
        <v>9.5567135836282846E-2</v>
      </c>
      <c r="K56" s="9"/>
    </row>
    <row r="57" spans="2:23" s="1" customFormat="1" ht="26.4">
      <c r="B57" s="8"/>
      <c r="C57" s="388" t="s">
        <v>78</v>
      </c>
      <c r="D57" s="280" t="s">
        <v>79</v>
      </c>
      <c r="E57" s="324">
        <f>SUM(E43:E44)+26.295059415</f>
        <v>258.41631655250006</v>
      </c>
      <c r="F57" s="325">
        <f>SUM(F43:F44)+33.0684916402698</f>
        <v>255.34030469526985</v>
      </c>
      <c r="G57" s="170">
        <f t="shared" ref="G57:G65" si="4">((F57/E57)-1)</f>
        <v>-1.19033190251564E-2</v>
      </c>
      <c r="H57" s="326">
        <f>SUM(H43:H44)+304.602957</f>
        <v>2896.9157199999995</v>
      </c>
      <c r="I57" s="325">
        <f>SUM(I43:I44)+355.692124675</f>
        <v>2959.5504885824998</v>
      </c>
      <c r="J57" s="170">
        <f t="shared" ref="J57:J65" si="5">((I57/H57)-1)</f>
        <v>2.1621191168965215E-2</v>
      </c>
      <c r="K57" s="9"/>
      <c r="L57" s="259"/>
      <c r="Q57" s="145"/>
      <c r="R57" s="145"/>
      <c r="T57" s="145">
        <v>2021</v>
      </c>
      <c r="U57" s="145">
        <v>2022</v>
      </c>
      <c r="V57" s="145"/>
      <c r="W57" s="145"/>
    </row>
    <row r="58" spans="2:23" s="1" customFormat="1" ht="13.8">
      <c r="B58" s="8"/>
      <c r="C58" s="389"/>
      <c r="D58" s="281" t="s">
        <v>110</v>
      </c>
      <c r="E58" s="269">
        <v>253.52640172750009</v>
      </c>
      <c r="F58" s="329">
        <v>180.11164603500018</v>
      </c>
      <c r="G58" s="279">
        <f t="shared" si="4"/>
        <v>-0.28957440011083702</v>
      </c>
      <c r="H58" s="271">
        <v>2085.0540282825004</v>
      </c>
      <c r="I58" s="270">
        <v>2319.7558028949993</v>
      </c>
      <c r="J58" s="279">
        <f t="shared" si="5"/>
        <v>0.1125638815248482</v>
      </c>
      <c r="K58" s="9"/>
      <c r="L58" s="259"/>
      <c r="M58" s="259"/>
      <c r="Q58" s="382" t="s">
        <v>80</v>
      </c>
      <c r="R58" s="145" t="s">
        <v>66</v>
      </c>
      <c r="T58" s="146">
        <f>SUM(E60,E64)</f>
        <v>3192.0210524235513</v>
      </c>
      <c r="U58" s="146">
        <f>SUM(F60,F64)</f>
        <v>2776.2710972172245</v>
      </c>
      <c r="V58" s="147">
        <f t="shared" ref="V58:W61" si="6">T58/T$64</f>
        <v>0.65518314988518189</v>
      </c>
      <c r="W58" s="147">
        <f t="shared" si="6"/>
        <v>0.56032399437631397</v>
      </c>
    </row>
    <row r="59" spans="2:23" s="1" customFormat="1">
      <c r="B59" s="8"/>
      <c r="C59" s="387" t="s">
        <v>80</v>
      </c>
      <c r="D59" s="282" t="s">
        <v>81</v>
      </c>
      <c r="E59" s="157">
        <f>SUM(E42:E44)-E57</f>
        <v>1049.7204480149994</v>
      </c>
      <c r="F59" s="158">
        <f>SUM(F42:F44)-F57</f>
        <v>1620.3560903732205</v>
      </c>
      <c r="G59" s="278">
        <f t="shared" si="4"/>
        <v>0.54360724651718639</v>
      </c>
      <c r="H59" s="237">
        <f>SUM(H42:H44)-H57</f>
        <v>17864.650224000001</v>
      </c>
      <c r="I59" s="158">
        <f>SUM(I42:I44)-I57</f>
        <v>21246.450062321008</v>
      </c>
      <c r="J59" s="278">
        <f t="shared" si="5"/>
        <v>0.18930120634423497</v>
      </c>
      <c r="K59" s="9"/>
      <c r="Q59" s="382"/>
      <c r="R59" s="145" t="s">
        <v>65</v>
      </c>
      <c r="T59" s="146">
        <f>SUM(E59,E63)</f>
        <v>1152.7817728836794</v>
      </c>
      <c r="U59" s="146">
        <f>SUM(F59,F63)</f>
        <v>1724.6351001670198</v>
      </c>
      <c r="V59" s="147">
        <f t="shared" si="6"/>
        <v>0.23661598112415408</v>
      </c>
      <c r="W59" s="147">
        <f t="shared" si="6"/>
        <v>0.34807639251649353</v>
      </c>
    </row>
    <row r="60" spans="2:23" s="1" customFormat="1">
      <c r="B60" s="8"/>
      <c r="C60" s="387"/>
      <c r="D60" s="283" t="s">
        <v>41</v>
      </c>
      <c r="E60" s="157">
        <f>E41-E58</f>
        <v>3123.890648995</v>
      </c>
      <c r="F60" s="158">
        <f>F41-F58</f>
        <v>2710.2119959903835</v>
      </c>
      <c r="G60" s="159">
        <f t="shared" si="4"/>
        <v>-0.13242417852804889</v>
      </c>
      <c r="H60" s="237">
        <f>H41-H58</f>
        <v>27810.416922522287</v>
      </c>
      <c r="I60" s="158">
        <f>I41-I58</f>
        <v>28972.428466995676</v>
      </c>
      <c r="J60" s="278">
        <f t="shared" si="5"/>
        <v>4.1783319815400954E-2</v>
      </c>
      <c r="K60" s="9"/>
      <c r="Q60" s="382" t="s">
        <v>78</v>
      </c>
      <c r="R60" s="145" t="s">
        <v>66</v>
      </c>
      <c r="T60" s="146">
        <f>E58</f>
        <v>253.52640172750009</v>
      </c>
      <c r="U60" s="146">
        <f>F58</f>
        <v>180.11164603500018</v>
      </c>
      <c r="V60" s="147">
        <f t="shared" si="6"/>
        <v>5.2037948288831896E-2</v>
      </c>
      <c r="W60" s="147">
        <f t="shared" si="6"/>
        <v>3.6351232788894933E-2</v>
      </c>
    </row>
    <row r="61" spans="2:23" s="1" customFormat="1">
      <c r="B61" s="8"/>
      <c r="C61" s="374" t="s">
        <v>64</v>
      </c>
      <c r="D61" s="375"/>
      <c r="E61" s="190">
        <f>SUM(E62:E64)</f>
        <v>186.39848229723114</v>
      </c>
      <c r="F61" s="191">
        <f>SUM(F62:F64)</f>
        <v>188.74028921954613</v>
      </c>
      <c r="G61" s="192">
        <f t="shared" si="4"/>
        <v>1.2563444151764802E-2</v>
      </c>
      <c r="H61" s="236">
        <f>SUM(H62:H64)</f>
        <v>2077.4304155911564</v>
      </c>
      <c r="I61" s="191">
        <f>SUM(I62:I64)</f>
        <v>1871.6494657186322</v>
      </c>
      <c r="J61" s="192">
        <f t="shared" si="5"/>
        <v>-9.9055519900033251E-2</v>
      </c>
      <c r="K61" s="9"/>
      <c r="Q61" s="382"/>
      <c r="R61" s="145" t="s">
        <v>89</v>
      </c>
      <c r="T61" s="146">
        <f>E57+E62</f>
        <v>273.62307055250005</v>
      </c>
      <c r="U61" s="146">
        <f>F57+F62</f>
        <v>273.74248289417562</v>
      </c>
      <c r="V61" s="147">
        <f t="shared" si="6"/>
        <v>5.6162920701832035E-2</v>
      </c>
      <c r="W61" s="147">
        <f t="shared" si="6"/>
        <v>5.5248380318297485E-2</v>
      </c>
    </row>
    <row r="62" spans="2:23" s="1" customFormat="1">
      <c r="B62" s="8"/>
      <c r="C62" s="312" t="s">
        <v>78</v>
      </c>
      <c r="D62" s="313" t="s">
        <v>114</v>
      </c>
      <c r="E62" s="351">
        <v>15.206754</v>
      </c>
      <c r="F62" s="327">
        <v>18.402178198905748</v>
      </c>
      <c r="G62" s="314">
        <f t="shared" si="4"/>
        <v>0.21013190579039742</v>
      </c>
      <c r="H62" s="328">
        <v>230.815169</v>
      </c>
      <c r="I62" s="327">
        <v>206.093253</v>
      </c>
      <c r="J62" s="314">
        <f t="shared" si="5"/>
        <v>-0.10710698134402075</v>
      </c>
      <c r="K62" s="9"/>
      <c r="Q62" s="145"/>
      <c r="R62" s="145"/>
      <c r="T62" s="145"/>
      <c r="U62" s="145"/>
      <c r="V62" s="145"/>
      <c r="W62" s="145"/>
    </row>
    <row r="63" spans="2:23" s="1" customFormat="1">
      <c r="B63" s="8"/>
      <c r="C63" s="390" t="s">
        <v>80</v>
      </c>
      <c r="D63" s="282" t="s">
        <v>81</v>
      </c>
      <c r="E63" s="157">
        <f>E47-E62</f>
        <v>103.06132486868003</v>
      </c>
      <c r="F63" s="158">
        <f>F47-F62</f>
        <v>104.27900979379925</v>
      </c>
      <c r="G63" s="278">
        <f t="shared" ref="G63" si="7">((F63/E63)-1)</f>
        <v>1.1815149151932491E-2</v>
      </c>
      <c r="H63" s="237">
        <f>H47-H62</f>
        <v>1235.9724067128564</v>
      </c>
      <c r="I63" s="158">
        <f>I47-I62</f>
        <v>1017.0777905514835</v>
      </c>
      <c r="J63" s="278">
        <f t="shared" ref="J63" si="8">((I63/H63)-1)</f>
        <v>-0.17710315778289609</v>
      </c>
      <c r="K63" s="9"/>
      <c r="Q63" s="145"/>
      <c r="R63" s="145"/>
      <c r="T63" s="145"/>
      <c r="U63" s="145"/>
      <c r="V63" s="145"/>
      <c r="W63" s="145"/>
    </row>
    <row r="64" spans="2:23" s="1" customFormat="1" ht="13.8" thickBot="1">
      <c r="B64" s="8"/>
      <c r="C64" s="391"/>
      <c r="D64" s="284" t="s">
        <v>41</v>
      </c>
      <c r="E64" s="161">
        <f>E46</f>
        <v>68.130403428551105</v>
      </c>
      <c r="F64" s="162">
        <f>F46</f>
        <v>66.059101226841136</v>
      </c>
      <c r="G64" s="163">
        <f t="shared" si="4"/>
        <v>-3.0402024609793465E-2</v>
      </c>
      <c r="H64" s="238">
        <f>H46</f>
        <v>610.64283987829992</v>
      </c>
      <c r="I64" s="162">
        <f>I46</f>
        <v>648.47842216714855</v>
      </c>
      <c r="J64" s="163">
        <f t="shared" si="5"/>
        <v>6.1960248803358153E-2</v>
      </c>
      <c r="K64" s="9"/>
      <c r="Q64" s="145"/>
      <c r="R64" s="145"/>
      <c r="T64" s="146">
        <f>SUM(T58:T61)</f>
        <v>4871.9522975872314</v>
      </c>
      <c r="U64" s="146">
        <f>SUM(U58:U61)</f>
        <v>4954.7603263134206</v>
      </c>
      <c r="V64" s="145"/>
      <c r="W64" s="145"/>
    </row>
    <row r="65" spans="2:22" s="1" customFormat="1" ht="14.4" thickTop="1" thickBot="1">
      <c r="B65" s="8"/>
      <c r="C65" s="376" t="s">
        <v>108</v>
      </c>
      <c r="D65" s="377"/>
      <c r="E65" s="193">
        <f>SUM(E56,E61)</f>
        <v>4871.9522975872305</v>
      </c>
      <c r="F65" s="194">
        <f>SUM(F56,F61)</f>
        <v>4954.7603263134206</v>
      </c>
      <c r="G65" s="195">
        <f t="shared" si="4"/>
        <v>1.6996888242768682E-2</v>
      </c>
      <c r="H65" s="239">
        <f>SUM(H56,H61)</f>
        <v>52734.467310395943</v>
      </c>
      <c r="I65" s="194">
        <f>SUM(I56,I61)</f>
        <v>57369.834286512814</v>
      </c>
      <c r="J65" s="195">
        <f t="shared" si="5"/>
        <v>8.7900138420532903E-2</v>
      </c>
      <c r="K65" s="9"/>
      <c r="Q65" s="145"/>
      <c r="R65" s="145"/>
      <c r="S65" s="145"/>
      <c r="T65" s="145"/>
      <c r="U65" s="145"/>
      <c r="V65" s="145"/>
    </row>
    <row r="66" spans="2:22" s="1" customFormat="1">
      <c r="B66" s="8"/>
      <c r="C66" s="264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tabSelected="1" view="pageBreakPreview" topLeftCell="A7" zoomScaleNormal="100" zoomScaleSheetLayoutView="100" workbookViewId="0">
      <selection activeCell="C26" sqref="C26:I35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2956.3827432522248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1598.4951930055759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125.89454478545758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51.470669839175571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150.47748782750003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71.794325227500039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5">
        <f t="shared" si="0"/>
        <v>0.24536237598540997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4954.7603263134197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18"/>
      <c r="G23" s="263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124</v>
      </c>
      <c r="D24" s="9"/>
      <c r="E24" s="13"/>
      <c r="F24" s="13"/>
      <c r="G24" s="13"/>
      <c r="H24" s="26"/>
      <c r="I24" s="26"/>
      <c r="J24" s="301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0"/>
      <c r="D25" s="130"/>
      <c r="E25" s="166"/>
      <c r="F25" s="166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2" t="s">
        <v>61</v>
      </c>
      <c r="D26" s="394" t="s">
        <v>119</v>
      </c>
      <c r="E26" s="394"/>
      <c r="F26" s="395" t="s">
        <v>74</v>
      </c>
      <c r="G26" s="397" t="s">
        <v>120</v>
      </c>
      <c r="H26" s="398"/>
      <c r="I26" s="395" t="s">
        <v>74</v>
      </c>
      <c r="J26" s="20"/>
      <c r="K26" s="54"/>
      <c r="L26" s="54"/>
      <c r="M26" s="55"/>
      <c r="N26" s="70">
        <v>2021</v>
      </c>
      <c r="O26" s="70">
        <v>2022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3"/>
      <c r="D27" s="95">
        <v>2021</v>
      </c>
      <c r="E27" s="96">
        <v>2022</v>
      </c>
      <c r="F27" s="396"/>
      <c r="G27" s="241">
        <v>2020</v>
      </c>
      <c r="H27" s="96">
        <v>2021</v>
      </c>
      <c r="I27" s="396"/>
      <c r="J27" s="20"/>
      <c r="K27" s="54"/>
      <c r="L27" s="54"/>
      <c r="M27" s="55" t="s">
        <v>85</v>
      </c>
      <c r="N27" s="70">
        <f t="shared" ref="N27:O29" si="1">D28</f>
        <v>3445.5474541510512</v>
      </c>
      <c r="O27" s="70">
        <f t="shared" si="1"/>
        <v>2956.3827432522248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7" t="s">
        <v>85</v>
      </c>
      <c r="D28" s="168">
        <f>'Resumen (G)'!E41+'Resumen (G)'!E46</f>
        <v>3445.5474541510512</v>
      </c>
      <c r="E28" s="169">
        <f>'Resumen (G)'!F41+'Resumen (G)'!F46</f>
        <v>2956.3827432522248</v>
      </c>
      <c r="F28" s="170">
        <f>+E28/D28-1</f>
        <v>-0.14197009833938035</v>
      </c>
      <c r="G28" s="254">
        <f>'Resumen (G)'!H41+'Resumen (G)'!H46</f>
        <v>30506.113790683085</v>
      </c>
      <c r="H28" s="169">
        <f>'Resumen (G)'!I41+'Resumen (G)'!I46</f>
        <v>31940.662692057824</v>
      </c>
      <c r="I28" s="354">
        <f>+H28/G28-1</f>
        <v>4.7024963953713028E-2</v>
      </c>
      <c r="J28" s="301"/>
      <c r="K28" s="54"/>
      <c r="L28" s="54"/>
      <c r="M28" s="55" t="s">
        <v>2</v>
      </c>
      <c r="N28" s="70">
        <f t="shared" si="1"/>
        <v>1075.6490756550002</v>
      </c>
      <c r="O28" s="70">
        <f t="shared" si="1"/>
        <v>1598.4951930055759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1" t="s">
        <v>2</v>
      </c>
      <c r="D29" s="172">
        <v>1075.6490756550002</v>
      </c>
      <c r="E29" s="173">
        <v>1598.4951930055759</v>
      </c>
      <c r="F29" s="174">
        <f t="shared" ref="F29:F35" si="2">+E29/D29-1</f>
        <v>0.4860749934007953</v>
      </c>
      <c r="G29" s="255">
        <v>18017.192573</v>
      </c>
      <c r="H29" s="173">
        <v>21242.731821137506</v>
      </c>
      <c r="I29" s="174">
        <f t="shared" ref="I29:I35" si="3">+H29/G29-1</f>
        <v>0.1790256298293218</v>
      </c>
      <c r="J29" s="261"/>
      <c r="K29" s="262"/>
      <c r="L29" s="54"/>
      <c r="M29" s="55" t="s">
        <v>84</v>
      </c>
      <c r="N29" s="70">
        <f t="shared" si="1"/>
        <v>76.878648228679594</v>
      </c>
      <c r="O29" s="70">
        <f t="shared" si="1"/>
        <v>125.89454478545758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1" t="s">
        <v>3</v>
      </c>
      <c r="D30" s="172">
        <f>'Resumen (G)'!E32-SUM('TipoRecurso (G)'!D28:D29,'TipoRecurso (G)'!D31:D34)</f>
        <v>76.878648228679594</v>
      </c>
      <c r="E30" s="173">
        <f>'Resumen (G)'!F32-SUM('TipoRecurso (G)'!E28:E29,'TipoRecurso (G)'!E31:E34)</f>
        <v>125.89454478545758</v>
      </c>
      <c r="F30" s="174">
        <f t="shared" si="2"/>
        <v>0.63757490130390448</v>
      </c>
      <c r="G30" s="255">
        <f>'Resumen (G)'!H32-SUM('TipoRecurso (G)'!G28:G29,'TipoRecurso (G)'!G31:G34)</f>
        <v>1080.7310577128446</v>
      </c>
      <c r="H30" s="173">
        <f>'Resumen (G)'!I32-SUM('TipoRecurso (G)'!H28:H29,'TipoRecurso (G)'!H31:H34)</f>
        <v>1018.1239806229787</v>
      </c>
      <c r="I30" s="174">
        <f t="shared" si="3"/>
        <v>-5.7930302495758368E-2</v>
      </c>
      <c r="J30" s="301"/>
      <c r="K30" s="54"/>
      <c r="L30" s="54"/>
      <c r="M30" s="55" t="s">
        <v>4</v>
      </c>
      <c r="N30" s="99">
        <f>D34</f>
        <v>0.25404900000000002</v>
      </c>
      <c r="O30" s="99">
        <f>E34</f>
        <v>0.24536237598540997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1" t="s">
        <v>6</v>
      </c>
      <c r="D31" s="172">
        <f>'Resumen (G)'!E57+'Resumen (G)'!E62-SUM('TipoRecurso (G)'!D32:D33)</f>
        <v>41.501813415000015</v>
      </c>
      <c r="E31" s="173">
        <f>'Resumen (G)'!F57+'Resumen (G)'!F62-SUM('TipoRecurso (G)'!E32:E33)</f>
        <v>51.470669839175571</v>
      </c>
      <c r="F31" s="174">
        <f t="shared" si="2"/>
        <v>0.24020291172559971</v>
      </c>
      <c r="G31" s="255">
        <f>'Resumen (G)'!H57+'Resumen (G)'!H62-SUM('TipoRecurso (G)'!G32:G33)</f>
        <v>535.41812600000003</v>
      </c>
      <c r="H31" s="173">
        <f>'Resumen (G)'!I57+'Resumen (G)'!I62-SUM('TipoRecurso (G)'!H32:H33)</f>
        <v>561.78537767499984</v>
      </c>
      <c r="I31" s="174">
        <f t="shared" si="3"/>
        <v>4.9246094584029398E-2</v>
      </c>
      <c r="J31" s="20"/>
      <c r="K31" s="54"/>
      <c r="L31" s="54"/>
      <c r="M31" s="55" t="s">
        <v>90</v>
      </c>
      <c r="N31" s="70">
        <f t="shared" ref="N31:O33" si="4">D31</f>
        <v>41.501813415000015</v>
      </c>
      <c r="O31" s="70">
        <f t="shared" si="4"/>
        <v>51.470669839175571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1" t="s">
        <v>14</v>
      </c>
      <c r="D32" s="172">
        <f>'Resumen (G)'!E43</f>
        <v>159.17320367750003</v>
      </c>
      <c r="E32" s="173">
        <f>'Resumen (G)'!F43</f>
        <v>150.47748782750003</v>
      </c>
      <c r="F32" s="174">
        <f t="shared" si="2"/>
        <v>-5.4630526050216011E-2</v>
      </c>
      <c r="G32" s="255">
        <f>'Resumen (G)'!H43</f>
        <v>1814.1021009999997</v>
      </c>
      <c r="H32" s="173">
        <f>'Resumen (G)'!I43</f>
        <v>1801.8623014</v>
      </c>
      <c r="I32" s="174">
        <f t="shared" si="3"/>
        <v>-6.7470290637184904E-3</v>
      </c>
      <c r="J32" s="20"/>
      <c r="K32" s="54"/>
      <c r="L32" s="54"/>
      <c r="M32" s="55" t="s">
        <v>14</v>
      </c>
      <c r="N32" s="70">
        <f t="shared" si="4"/>
        <v>159.17320367750003</v>
      </c>
      <c r="O32" s="70">
        <f t="shared" si="4"/>
        <v>150.47748782750003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1" t="s">
        <v>5</v>
      </c>
      <c r="D33" s="172">
        <f>'Resumen (G)'!E44</f>
        <v>72.948053459999997</v>
      </c>
      <c r="E33" s="173">
        <f>'Resumen (G)'!F44</f>
        <v>71.794325227500039</v>
      </c>
      <c r="F33" s="174">
        <f t="shared" si="2"/>
        <v>-1.5815750767531944E-2</v>
      </c>
      <c r="G33" s="255">
        <f>'Resumen (G)'!H44</f>
        <v>778.21066199999973</v>
      </c>
      <c r="H33" s="173">
        <f>'Resumen (G)'!I44</f>
        <v>801.99606250750003</v>
      </c>
      <c r="I33" s="174">
        <f t="shared" si="3"/>
        <v>3.0564218236707186E-2</v>
      </c>
      <c r="J33" s="20"/>
      <c r="K33" s="54"/>
      <c r="L33" s="54"/>
      <c r="M33" s="55" t="s">
        <v>5</v>
      </c>
      <c r="N33" s="70">
        <f t="shared" si="4"/>
        <v>72.948053459999997</v>
      </c>
      <c r="O33" s="70">
        <f t="shared" si="4"/>
        <v>71.794325227500039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5" t="s">
        <v>4</v>
      </c>
      <c r="D34" s="367">
        <v>0.25404900000000002</v>
      </c>
      <c r="E34" s="368">
        <v>0.24536237598540997</v>
      </c>
      <c r="F34" s="176">
        <f t="shared" si="2"/>
        <v>-3.4192710912422597E-2</v>
      </c>
      <c r="G34" s="358">
        <v>2.6989999999999998</v>
      </c>
      <c r="H34" s="355">
        <v>2.6720511120000001</v>
      </c>
      <c r="I34" s="176">
        <f t="shared" si="3"/>
        <v>-9.9847676917376171E-3</v>
      </c>
      <c r="J34" s="20"/>
      <c r="K34" s="54"/>
      <c r="L34" s="54"/>
      <c r="M34" s="97"/>
      <c r="N34" s="98">
        <f>SUM(N27:N33)</f>
        <v>4871.9522975872314</v>
      </c>
      <c r="O34" s="98">
        <f>SUM(O27:O33)</f>
        <v>4954.7603263134197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4" t="s">
        <v>108</v>
      </c>
      <c r="D35" s="305">
        <f>SUM(D28:D34)</f>
        <v>4871.9522975872305</v>
      </c>
      <c r="E35" s="306">
        <f>SUM(E28:E34)</f>
        <v>4954.7603263134197</v>
      </c>
      <c r="F35" s="307">
        <f t="shared" si="2"/>
        <v>1.699688824276846E-2</v>
      </c>
      <c r="G35" s="308">
        <f>SUM(G28:G34)</f>
        <v>52734.467310395921</v>
      </c>
      <c r="H35" s="306">
        <f>SUM(H28:H34)</f>
        <v>57369.8342865128</v>
      </c>
      <c r="I35" s="309">
        <f t="shared" si="3"/>
        <v>8.7900138420533125E-2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7"/>
      <c r="D36" s="177"/>
      <c r="E36" s="178"/>
      <c r="F36" s="179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0"/>
      <c r="N39" s="230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0">
        <f t="shared" ref="M40:N46" si="5">N27/N$34</f>
        <v>0.70722109817401368</v>
      </c>
      <c r="N40" s="230">
        <f t="shared" si="5"/>
        <v>0.59667522716520904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0">
        <f t="shared" si="5"/>
        <v>0.22078399170445509</v>
      </c>
      <c r="N41" s="230">
        <f t="shared" si="5"/>
        <v>0.32261806580560343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0">
        <f t="shared" si="5"/>
        <v>1.5779844204704695E-2</v>
      </c>
      <c r="N42" s="230">
        <f t="shared" si="5"/>
        <v>2.5408806177135351E-2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0">
        <f t="shared" si="5"/>
        <v>5.2145214994369783E-5</v>
      </c>
      <c r="N43" s="230">
        <f t="shared" si="5"/>
        <v>4.9520533754651134E-5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0">
        <f t="shared" si="5"/>
        <v>8.518518014955366E-3</v>
      </c>
      <c r="N44" s="230">
        <f t="shared" si="5"/>
        <v>1.0388125045287959E-2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0">
        <f t="shared" si="5"/>
        <v>3.2671338706729211E-2</v>
      </c>
      <c r="N45" s="230">
        <f t="shared" si="5"/>
        <v>3.0370285930553281E-2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0">
        <f t="shared" si="5"/>
        <v>1.4973063980147453E-2</v>
      </c>
      <c r="N46" s="230">
        <f t="shared" si="5"/>
        <v>1.4489969342456263E-2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0">
        <f>N34/N$34</f>
        <v>1</v>
      </c>
      <c r="N47" s="230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1">
        <f>SUM(M39:M46)</f>
        <v>0.99999999999999989</v>
      </c>
      <c r="N49" s="231">
        <f>SUM(N39:N46)</f>
        <v>0.99999999999999989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125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2" t="s">
        <v>91</v>
      </c>
      <c r="D53" s="394" t="s">
        <v>119</v>
      </c>
      <c r="E53" s="394"/>
      <c r="F53" s="395" t="s">
        <v>74</v>
      </c>
      <c r="G53" s="397" t="s">
        <v>120</v>
      </c>
      <c r="H53" s="398"/>
      <c r="I53" s="395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3"/>
      <c r="D54" s="95">
        <v>2021</v>
      </c>
      <c r="E54" s="96">
        <v>2022</v>
      </c>
      <c r="F54" s="396"/>
      <c r="G54" s="241">
        <v>2020</v>
      </c>
      <c r="H54" s="96">
        <v>2021</v>
      </c>
      <c r="I54" s="396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9" t="s">
        <v>42</v>
      </c>
      <c r="D55" s="290">
        <f>SUM(D28:D30,D34)</f>
        <v>4598.329227034731</v>
      </c>
      <c r="E55" s="291">
        <f>SUM(E28:E30,E34)</f>
        <v>4681.0178434192439</v>
      </c>
      <c r="F55" s="292">
        <f>+E55/D55-1</f>
        <v>1.7982317555334193E-2</v>
      </c>
      <c r="G55" s="293">
        <f>SUM(G28:G30,G34)</f>
        <v>49606.73642139593</v>
      </c>
      <c r="H55" s="291">
        <f>SUM(H28:H30,H34)</f>
        <v>54204.190544930309</v>
      </c>
      <c r="I55" s="292">
        <f>+H55/G55-1</f>
        <v>9.2678020268865069E-2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4" t="s">
        <v>104</v>
      </c>
      <c r="D56" s="369">
        <f>SUM(D31:D33)</f>
        <v>273.62307055250005</v>
      </c>
      <c r="E56" s="370">
        <f>SUM(E31:E33)</f>
        <v>273.74248289417562</v>
      </c>
      <c r="F56" s="371">
        <f>+E56/D56-1</f>
        <v>4.3641181803288909E-4</v>
      </c>
      <c r="G56" s="296">
        <f>SUM(G31:G33)</f>
        <v>3127.7308889999995</v>
      </c>
      <c r="H56" s="295">
        <f>SUM(H31:H33)</f>
        <v>3165.6437415824998</v>
      </c>
      <c r="I56" s="297">
        <f>+H56/G56-1</f>
        <v>1.2121520018182119E-2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4871.9522975872314</v>
      </c>
      <c r="E57" s="101">
        <f>SUM(E55:E56)</f>
        <v>4954.7603263134197</v>
      </c>
      <c r="F57" s="102">
        <f>+E57/D57-1</f>
        <v>1.6996888242768238E-2</v>
      </c>
      <c r="G57" s="256">
        <f>SUM(G55:G56)</f>
        <v>52734.467310395929</v>
      </c>
      <c r="H57" s="101">
        <f>SUM(H55:H56)</f>
        <v>57369.834286512807</v>
      </c>
      <c r="I57" s="102">
        <f>+H57/G57-1</f>
        <v>8.7900138420533125E-2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5" t="s">
        <v>8</v>
      </c>
      <c r="D58" s="103">
        <f>+D56/D57</f>
        <v>5.6162920701832035E-2</v>
      </c>
      <c r="E58" s="104">
        <f>+E56/E57</f>
        <v>5.5248380318297499E-2</v>
      </c>
      <c r="F58" s="105"/>
      <c r="G58" s="257">
        <f>+G56/G57</f>
        <v>5.9310941183687793E-2</v>
      </c>
      <c r="H58" s="104">
        <f>+H56/H57</f>
        <v>5.5179586640826631E-2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5" t="s">
        <v>105</v>
      </c>
      <c r="D59" s="123"/>
      <c r="E59" s="123"/>
      <c r="F59" s="124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4598.329227034731</v>
      </c>
      <c r="N63" s="76">
        <f>E55</f>
        <v>4681.0178434192439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273.62307055250005</v>
      </c>
      <c r="N64" s="76">
        <f>E56</f>
        <v>273.74248289417562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5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126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2021</v>
      </c>
      <c r="O75" s="55">
        <v>2022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9"/>
      <c r="D76" s="394" t="s">
        <v>119</v>
      </c>
      <c r="E76" s="394"/>
      <c r="F76" s="106" t="s">
        <v>74</v>
      </c>
      <c r="G76" s="397" t="s">
        <v>120</v>
      </c>
      <c r="H76" s="398"/>
      <c r="I76" s="228" t="s">
        <v>74</v>
      </c>
      <c r="J76" s="19"/>
      <c r="K76" s="57"/>
      <c r="L76" s="57"/>
      <c r="M76" s="55" t="s">
        <v>96</v>
      </c>
      <c r="N76" s="70">
        <f>D78</f>
        <v>0.35559531749999984</v>
      </c>
      <c r="O76" s="70">
        <f>E78</f>
        <v>51.2595675325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6" t="s">
        <v>95</v>
      </c>
      <c r="D77" s="127">
        <v>2021</v>
      </c>
      <c r="E77" s="233">
        <v>2022</v>
      </c>
      <c r="F77" s="107"/>
      <c r="G77" s="347">
        <v>2020</v>
      </c>
      <c r="H77" s="96">
        <v>2021</v>
      </c>
      <c r="I77" s="229"/>
      <c r="J77" s="19"/>
      <c r="K77" s="57"/>
      <c r="L77" s="57"/>
      <c r="M77" s="55" t="s">
        <v>97</v>
      </c>
      <c r="N77" s="70">
        <f>D79</f>
        <v>4685.1982199724989</v>
      </c>
      <c r="O77" s="70">
        <f>E79</f>
        <v>4714.7604695613745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6" t="s">
        <v>96</v>
      </c>
      <c r="D78" s="366">
        <v>0.35559531749999984</v>
      </c>
      <c r="E78" s="363">
        <v>51.2595675325</v>
      </c>
      <c r="F78" s="159">
        <f>((E78/D78)-1)</f>
        <v>143.15141316505108</v>
      </c>
      <c r="G78" s="360">
        <v>81.67853968499999</v>
      </c>
      <c r="H78" s="359">
        <v>86.455317049999962</v>
      </c>
      <c r="I78" s="159">
        <f>((H78/G78)-1)</f>
        <v>5.8482648972692397E-2</v>
      </c>
      <c r="J78" s="19"/>
      <c r="K78" s="260"/>
      <c r="L78" s="57"/>
    </row>
    <row r="79" spans="2:28" ht="16.5" customHeight="1" thickBot="1">
      <c r="C79" s="298" t="s">
        <v>97</v>
      </c>
      <c r="D79" s="161">
        <f>'Resumen (G)'!E40-D78</f>
        <v>4685.1982199724989</v>
      </c>
      <c r="E79" s="330">
        <f>'Resumen (G)'!F40-E78</f>
        <v>4714.7604695613745</v>
      </c>
      <c r="F79" s="163">
        <f>((E79/D79)-1)</f>
        <v>6.309711606833357E-3</v>
      </c>
      <c r="G79" s="238">
        <f>'Resumen (G)'!H40-G78</f>
        <v>50575.358355119781</v>
      </c>
      <c r="H79" s="330">
        <f>'Resumen (G)'!I40-H78</f>
        <v>55411.72950374418</v>
      </c>
      <c r="I79" s="163">
        <f>((H79/G79)-1)</f>
        <v>9.5627026795645165E-2</v>
      </c>
      <c r="J79" s="19"/>
      <c r="K79" s="57"/>
      <c r="L79" s="57"/>
      <c r="M79" s="70"/>
      <c r="N79" s="70"/>
      <c r="O79" s="70"/>
    </row>
    <row r="80" spans="2:28" ht="14.4" thickTop="1" thickBot="1">
      <c r="C80" s="128" t="s">
        <v>94</v>
      </c>
      <c r="D80" s="232">
        <f>SUM(D78:D79)</f>
        <v>4685.553815289999</v>
      </c>
      <c r="E80" s="331">
        <f>SUM(E78:E79)</f>
        <v>4766.0200370938746</v>
      </c>
      <c r="F80" s="129"/>
      <c r="G80" s="258">
        <f>SUM(G78:G79)</f>
        <v>50657.036894804784</v>
      </c>
      <c r="H80" s="331">
        <f>SUM(H78:H79)</f>
        <v>55498.18482079418</v>
      </c>
      <c r="I80" s="129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zoomScale="90" zoomScaleNormal="100" zoomScaleSheetLayoutView="90" workbookViewId="0">
      <selection activeCell="B2" sqref="B2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128</v>
      </c>
      <c r="D4" s="3"/>
      <c r="E4" s="23"/>
      <c r="F4" s="23"/>
      <c r="G4" s="23"/>
      <c r="H4" s="23"/>
      <c r="I4" s="23"/>
      <c r="J4" s="23"/>
    </row>
    <row r="6" spans="2:13">
      <c r="C6" s="10" t="s">
        <v>131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8" t="s">
        <v>44</v>
      </c>
      <c r="D8" s="406" t="s">
        <v>119</v>
      </c>
      <c r="E8" s="407"/>
      <c r="F8" s="395" t="s">
        <v>74</v>
      </c>
      <c r="G8" s="397" t="s">
        <v>120</v>
      </c>
      <c r="H8" s="398"/>
      <c r="I8" s="395" t="s">
        <v>74</v>
      </c>
      <c r="J8" s="26"/>
    </row>
    <row r="9" spans="2:13" s="1" customFormat="1" ht="13.5" customHeight="1">
      <c r="B9" s="19"/>
      <c r="C9" s="209"/>
      <c r="D9" s="110">
        <v>2021</v>
      </c>
      <c r="E9" s="96">
        <v>2022</v>
      </c>
      <c r="F9" s="396"/>
      <c r="G9" s="241">
        <v>2020</v>
      </c>
      <c r="H9" s="96">
        <v>2021</v>
      </c>
      <c r="I9" s="396"/>
      <c r="J9" s="26"/>
    </row>
    <row r="10" spans="2:13">
      <c r="C10" s="196" t="s">
        <v>10</v>
      </c>
      <c r="D10" s="197">
        <f>'Por Región (G)'!O8</f>
        <v>323.37362121013922</v>
      </c>
      <c r="E10" s="198">
        <f>'Por Región (G)'!P8</f>
        <v>370.01898137898263</v>
      </c>
      <c r="F10" s="199">
        <f>+E10/D10-1</f>
        <v>0.144246027224749</v>
      </c>
      <c r="G10" s="342">
        <f>'Por Región (G)'!Q8</f>
        <v>3375.5845703275477</v>
      </c>
      <c r="H10" s="198">
        <f>'Por Región (G)'!R8</f>
        <v>3798.6563769362865</v>
      </c>
      <c r="I10" s="199">
        <f>+H10/G10-1</f>
        <v>0.12533290095223015</v>
      </c>
      <c r="J10" s="26"/>
      <c r="L10" s="145" t="s">
        <v>9</v>
      </c>
      <c r="M10" s="234">
        <f>E11</f>
        <v>3980.0628559380557</v>
      </c>
    </row>
    <row r="11" spans="2:13">
      <c r="C11" s="200" t="s">
        <v>9</v>
      </c>
      <c r="D11" s="201">
        <f>'Por Región (G)'!O9</f>
        <v>3830.7869861707372</v>
      </c>
      <c r="E11" s="202">
        <f>'Por Región (G)'!P9</f>
        <v>3980.0628559380557</v>
      </c>
      <c r="F11" s="203">
        <f>+E11/D11-1</f>
        <v>3.8967415913808034E-2</v>
      </c>
      <c r="G11" s="343">
        <f>'Por Región (G)'!Q9</f>
        <v>42004.384666482219</v>
      </c>
      <c r="H11" s="202">
        <f>'Por Región (G)'!R9</f>
        <v>46246.130888115586</v>
      </c>
      <c r="I11" s="203">
        <f>+H11/G11-1</f>
        <v>0.10098341531040456</v>
      </c>
      <c r="J11" s="26"/>
      <c r="L11" s="145" t="s">
        <v>12</v>
      </c>
      <c r="M11" s="234">
        <f>E12</f>
        <v>570.26229313554938</v>
      </c>
    </row>
    <row r="12" spans="2:13">
      <c r="C12" s="200" t="s">
        <v>12</v>
      </c>
      <c r="D12" s="201">
        <f>'Por Región (G)'!O10</f>
        <v>682.99710247302176</v>
      </c>
      <c r="E12" s="202">
        <f>'Por Región (G)'!P10</f>
        <v>570.26229313554938</v>
      </c>
      <c r="F12" s="203">
        <f>+E12/D12-1</f>
        <v>-0.16505898623768378</v>
      </c>
      <c r="G12" s="343">
        <f>'Por Región (G)'!Q10</f>
        <v>6851.9023329261545</v>
      </c>
      <c r="H12" s="202">
        <f>'Por Región (G)'!R10</f>
        <v>6915.6106093949402</v>
      </c>
      <c r="I12" s="203">
        <f>+H12/G12-1</f>
        <v>9.297896171497122E-3</v>
      </c>
      <c r="J12" s="26"/>
      <c r="L12" s="145" t="s">
        <v>10</v>
      </c>
      <c r="M12" s="234">
        <f>E10</f>
        <v>370.01898137898263</v>
      </c>
    </row>
    <row r="13" spans="2:13">
      <c r="C13" s="204" t="s">
        <v>11</v>
      </c>
      <c r="D13" s="205">
        <f>'Por Región (G)'!O11</f>
        <v>34.794587733333344</v>
      </c>
      <c r="E13" s="206">
        <f>'Por Región (G)'!P11</f>
        <v>34.416195860833326</v>
      </c>
      <c r="F13" s="207">
        <f>+E13/D13-1</f>
        <v>-1.0875021006141017E-2</v>
      </c>
      <c r="G13" s="344">
        <f>'Por Región (G)'!Q11</f>
        <v>502.59574066001232</v>
      </c>
      <c r="H13" s="206">
        <f>'Por Región (G)'!R11</f>
        <v>409.436412066</v>
      </c>
      <c r="I13" s="207">
        <f>+H13/G13-1</f>
        <v>-0.18535638298819412</v>
      </c>
      <c r="J13" s="26"/>
      <c r="L13" s="145" t="s">
        <v>11</v>
      </c>
      <c r="M13" s="234">
        <f>E13</f>
        <v>34.416195860833326</v>
      </c>
    </row>
    <row r="14" spans="2:13" ht="13.8" thickBot="1">
      <c r="C14" s="210" t="s">
        <v>108</v>
      </c>
      <c r="D14" s="211">
        <f>SUM(D10:D13)</f>
        <v>4871.9522975872314</v>
      </c>
      <c r="E14" s="212">
        <f>SUM(E10:E13)</f>
        <v>4954.7603263134206</v>
      </c>
      <c r="F14" s="213">
        <f>+E14/D14-1</f>
        <v>1.699688824276846E-2</v>
      </c>
      <c r="G14" s="345">
        <f>SUM(G10:G13)</f>
        <v>52734.467310395936</v>
      </c>
      <c r="H14" s="212">
        <f>SUM(H10:H13)</f>
        <v>57369.834286512814</v>
      </c>
      <c r="I14" s="213">
        <f>+H14/G14-1</f>
        <v>8.7900138420533125E-2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129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403" t="s">
        <v>93</v>
      </c>
      <c r="D18" s="403"/>
      <c r="E18" s="403"/>
      <c r="F18" s="403"/>
      <c r="G18" s="404" t="s">
        <v>107</v>
      </c>
      <c r="H18" s="405"/>
      <c r="I18" s="405"/>
      <c r="J18" s="405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7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4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9" t="s">
        <v>13</v>
      </c>
      <c r="D54" s="401" t="s">
        <v>130</v>
      </c>
      <c r="E54" s="402"/>
      <c r="F54" s="402"/>
      <c r="G54" s="402"/>
      <c r="H54" s="402"/>
      <c r="I54" s="19"/>
      <c r="J54" s="19"/>
    </row>
    <row r="55" spans="3:13">
      <c r="C55" s="400"/>
      <c r="D55" s="113" t="s">
        <v>14</v>
      </c>
      <c r="E55" s="114" t="s">
        <v>15</v>
      </c>
      <c r="F55" s="114" t="s">
        <v>5</v>
      </c>
      <c r="G55" s="114" t="s">
        <v>16</v>
      </c>
      <c r="H55" s="114" t="s">
        <v>71</v>
      </c>
      <c r="I55" s="19"/>
      <c r="J55" s="19"/>
    </row>
    <row r="56" spans="3:13">
      <c r="C56" s="215" t="s">
        <v>10</v>
      </c>
      <c r="D56" s="338">
        <f>'Resumen (G)'!F14-'PorZona (G)'!D58</f>
        <v>87.432985685000006</v>
      </c>
      <c r="E56" s="219">
        <v>161.96294663244572</v>
      </c>
      <c r="F56" s="219">
        <v>0</v>
      </c>
      <c r="G56" s="219">
        <v>120.6230490615369</v>
      </c>
      <c r="H56" s="219">
        <f>SUM(D56:G56)</f>
        <v>370.01898137898263</v>
      </c>
      <c r="I56" s="333"/>
      <c r="K56" s="310"/>
      <c r="L56" s="323"/>
      <c r="M56" s="323"/>
    </row>
    <row r="57" spans="3:13">
      <c r="C57" s="216" t="s">
        <v>9</v>
      </c>
      <c r="D57" s="339">
        <v>0</v>
      </c>
      <c r="E57" s="220">
        <v>2404.0371018277792</v>
      </c>
      <c r="F57" s="340">
        <v>6.4619999999999999E-3</v>
      </c>
      <c r="G57" s="220">
        <v>1576.0192921102766</v>
      </c>
      <c r="H57" s="220">
        <f>SUM(D57:G57)</f>
        <v>3980.0628559380557</v>
      </c>
      <c r="I57" s="333"/>
      <c r="K57" s="310"/>
      <c r="L57" s="323"/>
      <c r="M57" s="323"/>
    </row>
    <row r="58" spans="3:13">
      <c r="C58" s="216" t="s">
        <v>12</v>
      </c>
      <c r="D58" s="339">
        <v>63.044502142500022</v>
      </c>
      <c r="E58" s="220">
        <v>390.38269479199937</v>
      </c>
      <c r="F58" s="220">
        <f>'Resumen (G)'!D15</f>
        <v>71.794325227500039</v>
      </c>
      <c r="G58" s="220">
        <v>45.040770973549911</v>
      </c>
      <c r="H58" s="220">
        <f>SUM(D58:G58)</f>
        <v>570.26229313554938</v>
      </c>
      <c r="I58" s="333"/>
      <c r="K58" s="310"/>
      <c r="L58" s="323"/>
      <c r="M58" s="323"/>
    </row>
    <row r="59" spans="3:13">
      <c r="C59" s="217" t="s">
        <v>11</v>
      </c>
      <c r="D59" s="341">
        <v>0</v>
      </c>
      <c r="E59" s="221">
        <v>0</v>
      </c>
      <c r="F59" s="221">
        <v>0</v>
      </c>
      <c r="G59" s="221">
        <f>E13</f>
        <v>34.416195860833326</v>
      </c>
      <c r="H59" s="221">
        <f>SUM(D59:G59)</f>
        <v>34.416195860833326</v>
      </c>
      <c r="I59" s="333"/>
      <c r="K59" s="19"/>
      <c r="L59" s="323"/>
      <c r="M59" s="323"/>
    </row>
    <row r="60" spans="3:13" ht="13.8" thickBot="1">
      <c r="C60" s="115" t="s">
        <v>108</v>
      </c>
      <c r="D60" s="222">
        <f>SUM(D56:D59)</f>
        <v>150.47748782750003</v>
      </c>
      <c r="E60" s="223">
        <f>SUM(E56:E59)</f>
        <v>2956.3827432522244</v>
      </c>
      <c r="F60" s="223">
        <f>SUM(F56:F59)</f>
        <v>71.800787227500038</v>
      </c>
      <c r="G60" s="223">
        <f>SUM(G56:G59)</f>
        <v>1776.0993080061967</v>
      </c>
      <c r="H60" s="223">
        <f>SUM(H56:H59)</f>
        <v>4954.7603263134206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36"/>
      <c r="H64" s="122"/>
    </row>
    <row r="65" spans="5:5">
      <c r="E65" s="122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zoomScale="70" zoomScaleNormal="100" zoomScaleSheetLayoutView="70" workbookViewId="0">
      <selection activeCell="B2" sqref="B2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8" t="s">
        <v>60</v>
      </c>
      <c r="D6" s="406" t="s">
        <v>119</v>
      </c>
      <c r="E6" s="407"/>
      <c r="F6" s="395" t="s">
        <v>74</v>
      </c>
      <c r="G6" s="397" t="s">
        <v>120</v>
      </c>
      <c r="H6" s="398"/>
      <c r="I6" s="395" t="s">
        <v>74</v>
      </c>
      <c r="O6" s="47"/>
      <c r="P6" s="86"/>
      <c r="Q6" s="408" t="s">
        <v>116</v>
      </c>
      <c r="R6" s="408"/>
    </row>
    <row r="7" spans="3:19" ht="12.75" customHeight="1">
      <c r="C7" s="109"/>
      <c r="D7" s="110">
        <v>2021</v>
      </c>
      <c r="E7" s="96">
        <v>2022</v>
      </c>
      <c r="F7" s="396"/>
      <c r="G7" s="241">
        <v>2020</v>
      </c>
      <c r="H7" s="96">
        <v>2021</v>
      </c>
      <c r="I7" s="396"/>
      <c r="N7" s="54"/>
      <c r="O7" s="320">
        <v>2021</v>
      </c>
      <c r="P7" s="322">
        <v>2022</v>
      </c>
      <c r="Q7" s="54">
        <v>2020</v>
      </c>
      <c r="R7" s="54">
        <v>2021</v>
      </c>
    </row>
    <row r="8" spans="3:19" ht="20.100000000000001" customHeight="1">
      <c r="C8" s="117" t="s">
        <v>17</v>
      </c>
      <c r="D8" s="356">
        <v>3.2715840000000007</v>
      </c>
      <c r="E8" s="357">
        <v>4.1983393933333337</v>
      </c>
      <c r="F8" s="225">
        <f>+E8/D8-1</f>
        <v>0.2832742162002666</v>
      </c>
      <c r="G8" s="352">
        <v>37.053125547557578</v>
      </c>
      <c r="H8" s="353">
        <v>50.38007271999998</v>
      </c>
      <c r="I8" s="225">
        <f>+H8/G8-1</f>
        <v>0.35967133610192481</v>
      </c>
      <c r="J8" s="26"/>
      <c r="K8" s="46"/>
      <c r="L8" s="46"/>
      <c r="N8" s="57" t="s">
        <v>10</v>
      </c>
      <c r="O8" s="71">
        <f>SUM(D8,D13,D20,D21,D27,D29,D31)</f>
        <v>323.37362121013922</v>
      </c>
      <c r="P8" s="71">
        <f t="shared" ref="P8" si="0">SUM(E8,E13,E20,E21,E27,E29,E31)</f>
        <v>370.01898137898263</v>
      </c>
      <c r="Q8" s="71">
        <f>SUM(G8,G13,G20,G21,G27,G29,G31)</f>
        <v>3375.5845703275477</v>
      </c>
      <c r="R8" s="71">
        <f>SUM(H8,H13,H20,H21,H27,H29,H31)</f>
        <v>3798.6563769362865</v>
      </c>
    </row>
    <row r="9" spans="3:19" ht="20.100000000000001" customHeight="1">
      <c r="C9" s="118" t="s">
        <v>18</v>
      </c>
      <c r="D9" s="224">
        <v>281.5679453775</v>
      </c>
      <c r="E9" s="286">
        <v>237.55833307083333</v>
      </c>
      <c r="F9" s="226">
        <f t="shared" ref="F9:F32" si="1">+E9/D9-1</f>
        <v>-0.15630192651248953</v>
      </c>
      <c r="G9" s="242">
        <v>2189.2947345844468</v>
      </c>
      <c r="H9" s="286">
        <v>2350.1413932845007</v>
      </c>
      <c r="I9" s="299">
        <f t="shared" ref="I9:I32" si="2">+H9/G9-1</f>
        <v>7.3469622960832037E-2</v>
      </c>
      <c r="J9" s="26"/>
      <c r="K9" s="46"/>
      <c r="L9" s="46"/>
      <c r="N9" s="57" t="s">
        <v>9</v>
      </c>
      <c r="O9" s="320">
        <f>SUM(D9,D14,D16,D17,D19,D22,D26,D32)</f>
        <v>3830.7869861707372</v>
      </c>
      <c r="P9" s="320">
        <f>SUM(E9,E14,E16,E17,E19,E22,E26,E32)</f>
        <v>3980.0628559380557</v>
      </c>
      <c r="Q9" s="320">
        <f>SUM(G9,G14,G16,G17,G19,G22,G26,G32)</f>
        <v>42004.384666482219</v>
      </c>
      <c r="R9" s="320">
        <f>SUM(H9,H14,H16,H17,H19,H22,H26,H32)</f>
        <v>46246.130888115586</v>
      </c>
    </row>
    <row r="10" spans="3:19" ht="20.100000000000001" customHeight="1">
      <c r="C10" s="119" t="s">
        <v>19</v>
      </c>
      <c r="D10" s="349">
        <v>4.009188</v>
      </c>
      <c r="E10" s="315">
        <v>3.8315436666666671</v>
      </c>
      <c r="F10" s="226">
        <f t="shared" si="1"/>
        <v>-4.4309304860069676E-2</v>
      </c>
      <c r="G10" s="242">
        <v>43.870447175149572</v>
      </c>
      <c r="H10" s="286">
        <v>45.498523999999989</v>
      </c>
      <c r="I10" s="226">
        <f t="shared" si="2"/>
        <v>3.7111015038220119E-2</v>
      </c>
      <c r="J10" s="26"/>
      <c r="K10" s="46"/>
      <c r="L10" s="46"/>
      <c r="N10" s="54" t="s">
        <v>12</v>
      </c>
      <c r="O10" s="320">
        <f>SUM(D10,D11,D12,D15,D18,D24,D25,D28,D30)</f>
        <v>682.99710247302176</v>
      </c>
      <c r="P10" s="320">
        <f t="shared" ref="P10" si="3">SUM(E10,E11,E12,E15,E18,E24,E25,E28,E30)</f>
        <v>570.26229313554938</v>
      </c>
      <c r="Q10" s="320">
        <f>SUM(G10,G11,G12,G15,G18,G24,G25,G28,G30)</f>
        <v>6851.9023329261545</v>
      </c>
      <c r="R10" s="320">
        <f>SUM(H10,H11,H12,H15,H18,H24,H25,H28,H30)</f>
        <v>6915.6106093949402</v>
      </c>
    </row>
    <row r="11" spans="3:19" ht="20.100000000000001" customHeight="1">
      <c r="C11" s="118" t="s">
        <v>20</v>
      </c>
      <c r="D11" s="224">
        <v>122.68484454750001</v>
      </c>
      <c r="E11" s="286">
        <v>95.794138106444677</v>
      </c>
      <c r="F11" s="299">
        <f t="shared" si="1"/>
        <v>-0.21918523465743989</v>
      </c>
      <c r="G11" s="242">
        <v>1251.9984130393918</v>
      </c>
      <c r="H11" s="286">
        <v>1217.5259974448368</v>
      </c>
      <c r="I11" s="226">
        <f t="shared" si="2"/>
        <v>-2.7533913170759261E-2</v>
      </c>
      <c r="J11" s="26"/>
      <c r="K11" s="46"/>
      <c r="L11" s="46"/>
      <c r="N11" s="321" t="s">
        <v>11</v>
      </c>
      <c r="O11" s="71">
        <f>D23</f>
        <v>34.794587733333344</v>
      </c>
      <c r="P11" s="71">
        <f t="shared" ref="P11" si="4">E23</f>
        <v>34.416195860833326</v>
      </c>
      <c r="Q11" s="71">
        <f>G23</f>
        <v>502.59574066001232</v>
      </c>
      <c r="R11" s="71">
        <f>H23</f>
        <v>409.436412066</v>
      </c>
    </row>
    <row r="12" spans="3:19" ht="20.100000000000001" customHeight="1">
      <c r="C12" s="118" t="s">
        <v>21</v>
      </c>
      <c r="D12" s="349">
        <v>1.0268639999999998</v>
      </c>
      <c r="E12" s="315">
        <v>0.99607403784617776</v>
      </c>
      <c r="F12" s="226">
        <f t="shared" si="1"/>
        <v>-2.9984459630313265E-2</v>
      </c>
      <c r="G12" s="348">
        <v>11.465155733612193</v>
      </c>
      <c r="H12" s="315">
        <v>10.543555</v>
      </c>
      <c r="I12" s="226">
        <f t="shared" si="2"/>
        <v>-8.0382748828291328E-2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24">
        <v>139.18481259749998</v>
      </c>
      <c r="E13" s="286">
        <v>143.28200826166676</v>
      </c>
      <c r="F13" s="226">
        <f t="shared" si="1"/>
        <v>2.9437088628449848E-2</v>
      </c>
      <c r="G13" s="242">
        <v>1035.9980245839054</v>
      </c>
      <c r="H13" s="286">
        <v>1454.0893319684953</v>
      </c>
      <c r="I13" s="226">
        <f t="shared" si="2"/>
        <v>0.40356380752029986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24">
        <v>269.3718859503108</v>
      </c>
      <c r="E14" s="286">
        <v>193.80627212999994</v>
      </c>
      <c r="F14" s="226">
        <f t="shared" si="1"/>
        <v>-0.28052524321060712</v>
      </c>
      <c r="G14" s="242">
        <v>2711.1847205837289</v>
      </c>
      <c r="H14" s="286">
        <v>3163.143939321229</v>
      </c>
      <c r="I14" s="226">
        <f t="shared" si="2"/>
        <v>0.16670174308159691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24">
        <v>201.74346655802168</v>
      </c>
      <c r="E15" s="286">
        <v>198.6490255137586</v>
      </c>
      <c r="F15" s="226">
        <f t="shared" si="1"/>
        <v>-1.5338494460603092E-2</v>
      </c>
      <c r="G15" s="242">
        <v>1952.2733964280001</v>
      </c>
      <c r="H15" s="286">
        <v>2054.1034819226029</v>
      </c>
      <c r="I15" s="346">
        <f t="shared" si="2"/>
        <v>5.2159746519579331E-2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24">
        <v>1008.1744134075001</v>
      </c>
      <c r="E16" s="286">
        <v>939.25399958056562</v>
      </c>
      <c r="F16" s="226">
        <f t="shared" si="1"/>
        <v>-6.8361597864790347E-2</v>
      </c>
      <c r="G16" s="242">
        <v>10058.911374814288</v>
      </c>
      <c r="H16" s="286">
        <v>10202.898751704295</v>
      </c>
      <c r="I16" s="299">
        <f t="shared" si="2"/>
        <v>1.4314409534467609E-2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24">
        <v>353.47314310583329</v>
      </c>
      <c r="E17" s="286">
        <v>266.26864035916657</v>
      </c>
      <c r="F17" s="226">
        <f t="shared" si="1"/>
        <v>-0.246707577216289</v>
      </c>
      <c r="G17" s="242">
        <v>2169.8995551279991</v>
      </c>
      <c r="H17" s="286">
        <v>2424.0813009324997</v>
      </c>
      <c r="I17" s="299">
        <f t="shared" si="2"/>
        <v>0.11713986723662284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24">
        <v>149.61760483666669</v>
      </c>
      <c r="E18" s="286">
        <v>106.39896605000003</v>
      </c>
      <c r="F18" s="226">
        <f t="shared" si="1"/>
        <v>-0.28886065135080341</v>
      </c>
      <c r="G18" s="242">
        <v>1660.1484597999997</v>
      </c>
      <c r="H18" s="286">
        <v>1697.3283003425001</v>
      </c>
      <c r="I18" s="226">
        <f t="shared" si="2"/>
        <v>2.2395491392968259E-2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24">
        <v>321.86504221666672</v>
      </c>
      <c r="E19" s="286">
        <v>298.13123406999989</v>
      </c>
      <c r="F19" s="226">
        <f t="shared" si="1"/>
        <v>-7.3738384209771302E-2</v>
      </c>
      <c r="G19" s="242">
        <v>2750.5437600475007</v>
      </c>
      <c r="H19" s="286">
        <v>3133.8411213969216</v>
      </c>
      <c r="I19" s="299">
        <f t="shared" si="2"/>
        <v>0.13935330421458247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24">
        <v>63.995536342633955</v>
      </c>
      <c r="E20" s="286">
        <v>102.17083758564391</v>
      </c>
      <c r="F20" s="299">
        <f t="shared" si="1"/>
        <v>0.59653068674381116</v>
      </c>
      <c r="G20" s="242">
        <v>793.09604687388924</v>
      </c>
      <c r="H20" s="286">
        <v>708.09280091022742</v>
      </c>
      <c r="I20" s="226">
        <f t="shared" si="2"/>
        <v>-0.10717900599645558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49">
        <v>5.7749158466666675</v>
      </c>
      <c r="E21" s="315">
        <v>5.2281859408333338</v>
      </c>
      <c r="F21" s="226">
        <f t="shared" si="1"/>
        <v>-9.4673224744722617E-2</v>
      </c>
      <c r="G21" s="242">
        <v>59.200636950000018</v>
      </c>
      <c r="H21" s="286">
        <v>61.701765902500014</v>
      </c>
      <c r="I21" s="226">
        <f t="shared" si="2"/>
        <v>4.2248345311088675E-2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24">
        <v>1485.099520724593</v>
      </c>
      <c r="E22" s="286">
        <v>1950.0332674747904</v>
      </c>
      <c r="F22" s="226">
        <f t="shared" si="1"/>
        <v>0.31306571732199617</v>
      </c>
      <c r="G22" s="242">
        <v>21166.477847324259</v>
      </c>
      <c r="H22" s="286">
        <v>23848.489772283734</v>
      </c>
      <c r="I22" s="226">
        <f t="shared" si="2"/>
        <v>0.12671035513348383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349">
        <v>34.794587733333344</v>
      </c>
      <c r="E23" s="315">
        <v>34.416195860833326</v>
      </c>
      <c r="F23" s="226">
        <f t="shared" si="1"/>
        <v>-1.0875021006141017E-2</v>
      </c>
      <c r="G23" s="242">
        <v>502.59574066001232</v>
      </c>
      <c r="H23" s="286">
        <v>409.436412066</v>
      </c>
      <c r="I23" s="226">
        <f t="shared" si="2"/>
        <v>-0.18535638298819412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61">
        <v>0.14104996500000003</v>
      </c>
      <c r="E24" s="362">
        <v>0.11034562500000002</v>
      </c>
      <c r="F24" s="226">
        <f t="shared" si="1"/>
        <v>-0.21768413767419226</v>
      </c>
      <c r="G24" s="242">
        <v>6.4997380000000007</v>
      </c>
      <c r="H24" s="286">
        <v>1.9627541825000003</v>
      </c>
      <c r="I24" s="299">
        <f t="shared" si="2"/>
        <v>-0.69802564618758478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24">
        <v>65.284806328333346</v>
      </c>
      <c r="E25" s="286">
        <v>65.039028293333331</v>
      </c>
      <c r="F25" s="226">
        <f t="shared" si="1"/>
        <v>-3.7647049723014137E-3</v>
      </c>
      <c r="G25" s="242">
        <v>709.50671699999998</v>
      </c>
      <c r="H25" s="286">
        <v>751.8724339275002</v>
      </c>
      <c r="I25" s="226">
        <f t="shared" si="2"/>
        <v>5.9711509295690357E-2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24">
        <v>105.138463605</v>
      </c>
      <c r="E26" s="286">
        <v>92.969311416866702</v>
      </c>
      <c r="F26" s="226">
        <f t="shared" si="1"/>
        <v>-0.11574405570403046</v>
      </c>
      <c r="G26" s="242">
        <v>862.87061099999994</v>
      </c>
      <c r="H26" s="286">
        <v>884.67484202240007</v>
      </c>
      <c r="I26" s="226">
        <f t="shared" si="2"/>
        <v>2.5269409740506399E-2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24">
        <v>106.74277842333863</v>
      </c>
      <c r="E27" s="286">
        <v>110.10533769750533</v>
      </c>
      <c r="F27" s="226">
        <f t="shared" si="1"/>
        <v>3.150151536088841E-2</v>
      </c>
      <c r="G27" s="242">
        <v>1391.6850293721955</v>
      </c>
      <c r="H27" s="286">
        <v>1463.9811354350636</v>
      </c>
      <c r="I27" s="226">
        <f t="shared" si="2"/>
        <v>5.1948612320333432E-2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24">
        <v>123.81481815500001</v>
      </c>
      <c r="E28" s="286">
        <v>84.95383579083331</v>
      </c>
      <c r="F28" s="226">
        <f t="shared" si="1"/>
        <v>-0.31386374380098692</v>
      </c>
      <c r="G28" s="242">
        <v>1058.49641675</v>
      </c>
      <c r="H28" s="286">
        <v>978.99072322249992</v>
      </c>
      <c r="I28" s="226">
        <f t="shared" si="2"/>
        <v>-7.5111915609137103E-2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349">
        <v>3.3034460000000001</v>
      </c>
      <c r="E29" s="315">
        <v>3.9337245000000003</v>
      </c>
      <c r="F29" s="226">
        <f t="shared" si="1"/>
        <v>0.19079424939896095</v>
      </c>
      <c r="G29" s="242">
        <v>45.345130999999995</v>
      </c>
      <c r="H29" s="286">
        <v>47.204693999999989</v>
      </c>
      <c r="I29" s="299">
        <f t="shared" si="2"/>
        <v>4.1009099742153055E-2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24">
        <v>14.6744600825</v>
      </c>
      <c r="E30" s="286">
        <v>14.489336051666671</v>
      </c>
      <c r="F30" s="346">
        <f t="shared" si="1"/>
        <v>-1.2615389581119851E-2</v>
      </c>
      <c r="G30" s="242">
        <v>157.64358900000002</v>
      </c>
      <c r="H30" s="286">
        <v>157.7848393525</v>
      </c>
      <c r="I30" s="226">
        <f t="shared" si="2"/>
        <v>8.9601076324119511E-4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24">
        <v>1.1005480000000003</v>
      </c>
      <c r="E31" s="286">
        <v>1.1005480000000003</v>
      </c>
      <c r="F31" s="299">
        <f>+E31/D31-1</f>
        <v>0</v>
      </c>
      <c r="G31" s="242">
        <v>13.206576000000007</v>
      </c>
      <c r="H31" s="286">
        <v>13.206576000000007</v>
      </c>
      <c r="I31" s="226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8">
        <v>6.0965717833333342</v>
      </c>
      <c r="E32" s="287">
        <v>2.0417978358333335</v>
      </c>
      <c r="F32" s="227">
        <f t="shared" si="1"/>
        <v>-0.66509082343372827</v>
      </c>
      <c r="G32" s="243">
        <v>95.202062999999981</v>
      </c>
      <c r="H32" s="287">
        <v>238.85976717000003</v>
      </c>
      <c r="I32" s="227">
        <f t="shared" si="2"/>
        <v>1.5089767978032165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2" t="s">
        <v>108</v>
      </c>
      <c r="D33" s="111">
        <f>SUM(D8:D32)</f>
        <v>4871.9522975872314</v>
      </c>
      <c r="E33" s="288">
        <f>SUM(E8:E32)</f>
        <v>4954.7603263134215</v>
      </c>
      <c r="F33" s="116">
        <f>+E33/D33-1</f>
        <v>1.6996888242768682E-2</v>
      </c>
      <c r="G33" s="244">
        <f>SUM(G8:G32)</f>
        <v>52734.467310395921</v>
      </c>
      <c r="H33" s="288">
        <f>SUM(H8:H32)</f>
        <v>57369.834286512807</v>
      </c>
      <c r="I33" s="245">
        <f>+H33/G33-1</f>
        <v>8.7900138420533125E-2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127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0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1950.0332674747904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939.25399958056562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27</v>
      </c>
      <c r="O46" s="53">
        <v>298.13123406999989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25</v>
      </c>
      <c r="O47" s="52">
        <v>266.26864035916657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237.55833307083333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198.6490255137586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59</v>
      </c>
      <c r="O50" s="52">
        <v>193.80627212999994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143.28200826166676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35</v>
      </c>
      <c r="O52" s="53">
        <v>110.10533769750533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106.39896605000003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102.17083758564391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20</v>
      </c>
      <c r="O55" s="52">
        <v>95.794138106444677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34</v>
      </c>
      <c r="O56" s="53">
        <v>92.969311416866702</v>
      </c>
      <c r="P56" s="8"/>
      <c r="S56" s="91"/>
    </row>
    <row r="57" spans="3:19">
      <c r="N57" s="51" t="s">
        <v>36</v>
      </c>
      <c r="O57" s="52">
        <v>84.95383579083331</v>
      </c>
      <c r="S57" s="91"/>
    </row>
    <row r="58" spans="3:19">
      <c r="N58" s="51" t="s">
        <v>33</v>
      </c>
      <c r="O58" s="52">
        <v>65.039028293333331</v>
      </c>
      <c r="S58" s="121"/>
    </row>
    <row r="59" spans="3:19">
      <c r="N59" s="51" t="s">
        <v>31</v>
      </c>
      <c r="O59" s="52">
        <v>34.416195860833326</v>
      </c>
      <c r="S59" s="91"/>
    </row>
    <row r="60" spans="3:19">
      <c r="N60" s="51" t="s">
        <v>38</v>
      </c>
      <c r="O60" s="52">
        <v>14.489336051666671</v>
      </c>
      <c r="S60" s="91"/>
    </row>
    <row r="61" spans="3:19">
      <c r="N61" s="51" t="s">
        <v>29</v>
      </c>
      <c r="O61" s="52">
        <v>5.2281859408333338</v>
      </c>
      <c r="S61" s="91"/>
    </row>
    <row r="62" spans="3:19">
      <c r="N62" s="51" t="s">
        <v>17</v>
      </c>
      <c r="O62" s="52">
        <v>4.1983393933333337</v>
      </c>
      <c r="S62" s="91"/>
    </row>
    <row r="63" spans="3:19">
      <c r="N63" s="50" t="s">
        <v>37</v>
      </c>
      <c r="O63" s="53">
        <v>3.9337245000000003</v>
      </c>
      <c r="S63" s="91"/>
    </row>
    <row r="64" spans="3:19">
      <c r="N64" s="50" t="s">
        <v>19</v>
      </c>
      <c r="O64" s="53">
        <v>3.8315436666666671</v>
      </c>
      <c r="S64" s="91"/>
    </row>
    <row r="65" spans="6:19">
      <c r="N65" s="50" t="s">
        <v>40</v>
      </c>
      <c r="O65" s="53">
        <v>2.0417978358333335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0.99607403784617776</v>
      </c>
      <c r="S67" s="91"/>
    </row>
    <row r="68" spans="6:19">
      <c r="N68" s="9" t="s">
        <v>32</v>
      </c>
      <c r="O68" s="52">
        <v>0.11034562500000002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2022-02-18T21:55:01Z</dcterms:modified>
</cp:coreProperties>
</file>